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bookViews>
    <workbookView xWindow="0" yWindow="0" windowWidth="28800" windowHeight="12330" tabRatio="833"/>
  </bookViews>
  <sheets>
    <sheet name="Лист1" sheetId="45" r:id="rId1"/>
  </sheets>
  <definedNames>
    <definedName name="_xlnm.Print_Titles" localSheetId="0">Лист1!$8:$10</definedName>
    <definedName name="_xlnm.Print_Area" localSheetId="0">Лист1!$A$1:$K$366</definedName>
  </definedNames>
  <calcPr calcId="162913" fullCalcOnLoad="1"/>
</workbook>
</file>

<file path=xl/calcChain.xml><?xml version="1.0" encoding="utf-8"?>
<calcChain xmlns="http://schemas.openxmlformats.org/spreadsheetml/2006/main">
  <c r="G240" i="45" l="1"/>
  <c r="K240" i="45"/>
  <c r="F240" i="45"/>
  <c r="G213" i="45"/>
  <c r="K213" i="45"/>
  <c r="G208" i="45"/>
  <c r="H264" i="45"/>
  <c r="J264" i="45"/>
  <c r="K264" i="45"/>
  <c r="H265" i="45"/>
  <c r="I265" i="45"/>
  <c r="K265" i="45"/>
  <c r="H261" i="45"/>
  <c r="J261" i="45"/>
  <c r="K261" i="45"/>
  <c r="H257" i="45"/>
  <c r="I257" i="45"/>
  <c r="K257" i="45"/>
  <c r="H258" i="45"/>
  <c r="J258" i="45"/>
  <c r="K258" i="45"/>
  <c r="H259" i="45"/>
  <c r="J259" i="45"/>
  <c r="K259" i="45"/>
  <c r="H260" i="45"/>
  <c r="J260" i="45"/>
  <c r="K260" i="45"/>
  <c r="H262" i="45"/>
  <c r="I262" i="45"/>
  <c r="J262" i="45"/>
  <c r="K262" i="45"/>
  <c r="J263" i="45"/>
  <c r="K263" i="45"/>
  <c r="H266" i="45"/>
  <c r="J266" i="45"/>
  <c r="K266" i="45"/>
  <c r="J185" i="45"/>
  <c r="K185" i="45"/>
  <c r="H186" i="45"/>
  <c r="I186" i="45"/>
  <c r="J186" i="45"/>
  <c r="K186" i="45"/>
  <c r="H187" i="45"/>
  <c r="I187" i="45"/>
  <c r="J187" i="45"/>
  <c r="K187" i="45"/>
  <c r="H188" i="45"/>
  <c r="I188" i="45"/>
  <c r="J188" i="45"/>
  <c r="K188" i="45"/>
  <c r="H189" i="45"/>
  <c r="I189" i="45"/>
  <c r="J189" i="45"/>
  <c r="K189" i="45"/>
  <c r="H191" i="45"/>
  <c r="K191" i="45"/>
  <c r="H192" i="45"/>
  <c r="I192" i="45"/>
  <c r="J192" i="45"/>
  <c r="K192" i="45"/>
  <c r="H193" i="45"/>
  <c r="I193" i="45"/>
  <c r="J193" i="45"/>
  <c r="K193" i="45"/>
  <c r="H194" i="45"/>
  <c r="I194" i="45"/>
  <c r="J194" i="45"/>
  <c r="K194" i="45"/>
  <c r="H195" i="45"/>
  <c r="I195" i="45"/>
  <c r="J195" i="45"/>
  <c r="K195" i="45"/>
  <c r="H196" i="45"/>
  <c r="J196" i="45"/>
  <c r="K196" i="45"/>
  <c r="H197" i="45"/>
  <c r="I197" i="45"/>
  <c r="J197" i="45"/>
  <c r="K197" i="45"/>
  <c r="H198" i="45"/>
  <c r="I198" i="45"/>
  <c r="J198" i="45"/>
  <c r="K198" i="45"/>
  <c r="H199" i="45"/>
  <c r="I199" i="45"/>
  <c r="J199" i="45"/>
  <c r="K199" i="45"/>
  <c r="H200" i="45"/>
  <c r="I200" i="45"/>
  <c r="J200" i="45"/>
  <c r="K200" i="45"/>
  <c r="H201" i="45"/>
  <c r="I201" i="45"/>
  <c r="J201" i="45"/>
  <c r="K201" i="45"/>
  <c r="H202" i="45"/>
  <c r="I202" i="45"/>
  <c r="J202" i="45"/>
  <c r="K202" i="45"/>
  <c r="H203" i="45"/>
  <c r="I203" i="45"/>
  <c r="J203" i="45"/>
  <c r="K203" i="45"/>
  <c r="H204" i="45"/>
  <c r="J204" i="45"/>
  <c r="K204" i="45"/>
  <c r="H205" i="45"/>
  <c r="I205" i="45"/>
  <c r="J205" i="45"/>
  <c r="K205" i="45"/>
  <c r="H206" i="45"/>
  <c r="I206" i="45"/>
  <c r="J206" i="45"/>
  <c r="K206" i="45"/>
  <c r="H207" i="45"/>
  <c r="I207" i="45"/>
  <c r="J207" i="45"/>
  <c r="K207" i="45"/>
  <c r="H209" i="45"/>
  <c r="K209" i="45"/>
  <c r="H210" i="45"/>
  <c r="J210" i="45"/>
  <c r="K210" i="45"/>
  <c r="H211" i="45"/>
  <c r="J211" i="45"/>
  <c r="K211" i="45"/>
  <c r="H212" i="45"/>
  <c r="J212" i="45"/>
  <c r="K212" i="45"/>
  <c r="H218" i="45"/>
  <c r="J218" i="45"/>
  <c r="K218" i="45"/>
  <c r="J219" i="45"/>
  <c r="K219" i="45"/>
  <c r="H221" i="45"/>
  <c r="I221" i="45"/>
  <c r="J221" i="45"/>
  <c r="K221" i="45"/>
  <c r="H222" i="45"/>
  <c r="I222" i="45"/>
  <c r="J222" i="45"/>
  <c r="K222" i="45"/>
  <c r="H223" i="45"/>
  <c r="J223" i="45"/>
  <c r="K223" i="45"/>
  <c r="H224" i="45"/>
  <c r="J224" i="45"/>
  <c r="K224" i="45"/>
  <c r="H225" i="45"/>
  <c r="J225" i="45"/>
  <c r="K225" i="45"/>
  <c r="H226" i="45"/>
  <c r="J226" i="45"/>
  <c r="K226" i="45"/>
  <c r="H227" i="45"/>
  <c r="J227" i="45"/>
  <c r="K227" i="45"/>
  <c r="H228" i="45"/>
  <c r="J228" i="45"/>
  <c r="K228" i="45"/>
  <c r="H229" i="45"/>
  <c r="J229" i="45"/>
  <c r="K229" i="45"/>
  <c r="H230" i="45"/>
  <c r="I230" i="45"/>
  <c r="J230" i="45"/>
  <c r="K230" i="45"/>
  <c r="H231" i="45"/>
  <c r="K231" i="45"/>
  <c r="H232" i="45"/>
  <c r="J232" i="45"/>
  <c r="K232" i="45"/>
  <c r="H233" i="45"/>
  <c r="J233" i="45"/>
  <c r="K233" i="45"/>
  <c r="H234" i="45"/>
  <c r="H235" i="45"/>
  <c r="J235" i="45"/>
  <c r="K235" i="45"/>
  <c r="H236" i="45"/>
  <c r="J236" i="45"/>
  <c r="K236" i="45"/>
  <c r="H237" i="45"/>
  <c r="J237" i="45"/>
  <c r="K237" i="45"/>
  <c r="H238" i="45"/>
  <c r="J238" i="45"/>
  <c r="K238" i="45"/>
  <c r="H239" i="45"/>
  <c r="I239" i="45"/>
  <c r="K239" i="45"/>
  <c r="H240" i="45"/>
  <c r="J240" i="45"/>
  <c r="H241" i="45"/>
  <c r="J241" i="45"/>
  <c r="K241" i="45"/>
  <c r="H242" i="45"/>
  <c r="I242" i="45"/>
  <c r="J242" i="45"/>
  <c r="K242" i="45"/>
  <c r="H243" i="45"/>
  <c r="K243" i="45"/>
  <c r="H244" i="45"/>
  <c r="J244" i="45"/>
  <c r="K244" i="45"/>
  <c r="H245" i="45"/>
  <c r="J245" i="45"/>
  <c r="K245" i="45"/>
  <c r="H246" i="45"/>
  <c r="J246" i="45"/>
  <c r="K246" i="45"/>
  <c r="H247" i="45"/>
  <c r="J247" i="45"/>
  <c r="K247" i="45"/>
  <c r="H248" i="45"/>
  <c r="J248" i="45"/>
  <c r="K248" i="45"/>
  <c r="J249" i="45"/>
  <c r="K249" i="45"/>
  <c r="H252" i="45"/>
  <c r="I252" i="45"/>
  <c r="K252" i="45"/>
  <c r="H253" i="45"/>
  <c r="J253" i="45"/>
  <c r="K253" i="45"/>
  <c r="H254" i="45"/>
  <c r="J254" i="45"/>
  <c r="K254" i="45"/>
  <c r="H255" i="45"/>
  <c r="J255" i="45"/>
  <c r="K255" i="45"/>
  <c r="H256" i="45"/>
  <c r="J256" i="45"/>
  <c r="K256" i="45"/>
  <c r="E234" i="45"/>
  <c r="K234" i="45"/>
  <c r="D250" i="45"/>
  <c r="C219" i="45"/>
  <c r="H219" i="45"/>
  <c r="I219" i="45"/>
  <c r="F213" i="45"/>
  <c r="E213" i="45"/>
  <c r="F208" i="45"/>
  <c r="E208" i="45"/>
  <c r="J208" i="45"/>
  <c r="G190" i="45"/>
  <c r="F190" i="45"/>
  <c r="E190" i="45"/>
  <c r="G217" i="45"/>
  <c r="K217" i="45"/>
  <c r="G216" i="45"/>
  <c r="K216" i="45"/>
  <c r="G215" i="45"/>
  <c r="J215" i="45"/>
  <c r="G214" i="45"/>
  <c r="K86" i="45"/>
  <c r="J86" i="45"/>
  <c r="H86" i="45"/>
  <c r="J93" i="45"/>
  <c r="I93" i="45"/>
  <c r="E80" i="45"/>
  <c r="E60" i="45"/>
  <c r="E16" i="45"/>
  <c r="G87" i="45"/>
  <c r="H87" i="45"/>
  <c r="K88" i="45"/>
  <c r="K89" i="45"/>
  <c r="J88" i="45"/>
  <c r="J89" i="45"/>
  <c r="H88" i="45"/>
  <c r="H89" i="45"/>
  <c r="D87" i="45"/>
  <c r="E87" i="45"/>
  <c r="F87" i="45"/>
  <c r="C87" i="45"/>
  <c r="D60" i="45"/>
  <c r="C12" i="45"/>
  <c r="D12" i="45"/>
  <c r="E12" i="45"/>
  <c r="F12" i="45"/>
  <c r="G12" i="45"/>
  <c r="H12" i="45"/>
  <c r="H14" i="45"/>
  <c r="I14" i="45"/>
  <c r="J14" i="45"/>
  <c r="K14" i="45"/>
  <c r="H15" i="45"/>
  <c r="K15" i="45"/>
  <c r="D16" i="45"/>
  <c r="F16" i="45"/>
  <c r="G16" i="45"/>
  <c r="H18" i="45"/>
  <c r="I18" i="45"/>
  <c r="J18" i="45"/>
  <c r="K18" i="45"/>
  <c r="C19" i="45"/>
  <c r="C16" i="45"/>
  <c r="J19" i="45"/>
  <c r="K19" i="45"/>
  <c r="H20" i="45"/>
  <c r="I20" i="45"/>
  <c r="J20" i="45"/>
  <c r="K20" i="45"/>
  <c r="H21" i="45"/>
  <c r="J21" i="45"/>
  <c r="K21" i="45"/>
  <c r="H22" i="45"/>
  <c r="I22" i="45"/>
  <c r="J22" i="45"/>
  <c r="K22" i="45"/>
  <c r="C23" i="45"/>
  <c r="D23" i="45"/>
  <c r="E23" i="45"/>
  <c r="F23" i="45"/>
  <c r="G25" i="45"/>
  <c r="H26" i="45"/>
  <c r="I26" i="45"/>
  <c r="J26" i="45"/>
  <c r="K26" i="45"/>
  <c r="H27" i="45"/>
  <c r="K27" i="45"/>
  <c r="C28" i="45"/>
  <c r="I28" i="45"/>
  <c r="D28" i="45"/>
  <c r="E28" i="45"/>
  <c r="F28" i="45"/>
  <c r="H29" i="45"/>
  <c r="K29" i="45"/>
  <c r="G30" i="45"/>
  <c r="I30" i="45"/>
  <c r="H31" i="45"/>
  <c r="I31" i="45"/>
  <c r="J31" i="45"/>
  <c r="K31" i="45"/>
  <c r="H32" i="45"/>
  <c r="J32" i="45"/>
  <c r="K32" i="45"/>
  <c r="H33" i="45"/>
  <c r="K33" i="45"/>
  <c r="C34" i="45"/>
  <c r="D34" i="45"/>
  <c r="E34" i="45"/>
  <c r="F34" i="45"/>
  <c r="G34" i="45"/>
  <c r="I34" i="45"/>
  <c r="H36" i="45"/>
  <c r="I36" i="45"/>
  <c r="J36" i="45"/>
  <c r="K36" i="45"/>
  <c r="H37" i="45"/>
  <c r="I37" i="45"/>
  <c r="J37" i="45"/>
  <c r="K37" i="45"/>
  <c r="H38" i="45"/>
  <c r="J38" i="45"/>
  <c r="K38" i="45"/>
  <c r="H39" i="45"/>
  <c r="I39" i="45"/>
  <c r="J39" i="45"/>
  <c r="K39" i="45"/>
  <c r="H40" i="45"/>
  <c r="J40" i="45"/>
  <c r="K40" i="45"/>
  <c r="D41" i="45"/>
  <c r="E41" i="45"/>
  <c r="F41" i="45"/>
  <c r="G41" i="45"/>
  <c r="K41" i="45"/>
  <c r="C43" i="45"/>
  <c r="C41" i="45"/>
  <c r="J43" i="45"/>
  <c r="K43" i="45"/>
  <c r="H44" i="45"/>
  <c r="I44" i="45"/>
  <c r="J44" i="45"/>
  <c r="K44" i="45"/>
  <c r="H45" i="45"/>
  <c r="I45" i="45"/>
  <c r="J45" i="45"/>
  <c r="K45" i="45"/>
  <c r="H46" i="45"/>
  <c r="J46" i="45"/>
  <c r="K46" i="45"/>
  <c r="H47" i="45"/>
  <c r="J47" i="45"/>
  <c r="K47" i="45"/>
  <c r="C48" i="45"/>
  <c r="D48" i="45"/>
  <c r="E48" i="45"/>
  <c r="F48" i="45"/>
  <c r="G48" i="45"/>
  <c r="H48" i="45"/>
  <c r="H49" i="45"/>
  <c r="I49" i="45"/>
  <c r="J49" i="45"/>
  <c r="K49" i="45"/>
  <c r="H50" i="45"/>
  <c r="J50" i="45"/>
  <c r="K50" i="45"/>
  <c r="H51" i="45"/>
  <c r="J51" i="45"/>
  <c r="K51" i="45"/>
  <c r="D52" i="45"/>
  <c r="E52" i="45"/>
  <c r="F52" i="45"/>
  <c r="G52" i="45"/>
  <c r="H53" i="45"/>
  <c r="H54" i="45"/>
  <c r="I54" i="45"/>
  <c r="J54" i="45"/>
  <c r="K54" i="45"/>
  <c r="C55" i="45"/>
  <c r="J55" i="45"/>
  <c r="K55" i="45"/>
  <c r="H56" i="45"/>
  <c r="I56" i="45"/>
  <c r="K56" i="45"/>
  <c r="C57" i="45"/>
  <c r="H57" i="45"/>
  <c r="K57" i="45"/>
  <c r="H58" i="45"/>
  <c r="I58" i="45"/>
  <c r="J58" i="45"/>
  <c r="K58" i="45"/>
  <c r="H59" i="45"/>
  <c r="J59" i="45"/>
  <c r="K59" i="45"/>
  <c r="C60" i="45"/>
  <c r="F60" i="45"/>
  <c r="G60" i="45"/>
  <c r="I60" i="45"/>
  <c r="H61" i="45"/>
  <c r="K61" i="45"/>
  <c r="H62" i="45"/>
  <c r="J62" i="45"/>
  <c r="K62" i="45"/>
  <c r="H63" i="45"/>
  <c r="J63" i="45"/>
  <c r="K63" i="45"/>
  <c r="H64" i="45"/>
  <c r="J64" i="45"/>
  <c r="K64" i="45"/>
  <c r="H65" i="45"/>
  <c r="J65" i="45"/>
  <c r="K65" i="45"/>
  <c r="H66" i="45"/>
  <c r="J66" i="45"/>
  <c r="K66" i="45"/>
  <c r="J67" i="45"/>
  <c r="K67" i="45"/>
  <c r="H68" i="45"/>
  <c r="J68" i="45"/>
  <c r="K68" i="45"/>
  <c r="H69" i="45"/>
  <c r="J69" i="45"/>
  <c r="K69" i="45"/>
  <c r="H70" i="45"/>
  <c r="J70" i="45"/>
  <c r="K70" i="45"/>
  <c r="H71" i="45"/>
  <c r="J71" i="45"/>
  <c r="K71" i="45"/>
  <c r="H72" i="45"/>
  <c r="J72" i="45"/>
  <c r="K72" i="45"/>
  <c r="H73" i="45"/>
  <c r="J73" i="45"/>
  <c r="K73" i="45"/>
  <c r="H74" i="45"/>
  <c r="J74" i="45"/>
  <c r="K74" i="45"/>
  <c r="H75" i="45"/>
  <c r="J75" i="45"/>
  <c r="K75" i="45"/>
  <c r="H76" i="45"/>
  <c r="I76" i="45"/>
  <c r="K76" i="45"/>
  <c r="H77" i="45"/>
  <c r="J77" i="45"/>
  <c r="K77" i="45"/>
  <c r="H78" i="45"/>
  <c r="I78" i="45"/>
  <c r="J78" i="45"/>
  <c r="K78" i="45"/>
  <c r="H79" i="45"/>
  <c r="J79" i="45"/>
  <c r="K79" i="45"/>
  <c r="C80" i="45"/>
  <c r="D80" i="45"/>
  <c r="F80" i="45"/>
  <c r="G80" i="45"/>
  <c r="J80" i="45"/>
  <c r="H81" i="45"/>
  <c r="K81" i="45"/>
  <c r="H82" i="45"/>
  <c r="J82" i="45"/>
  <c r="K82" i="45"/>
  <c r="H83" i="45"/>
  <c r="J83" i="45"/>
  <c r="K83" i="45"/>
  <c r="H84" i="45"/>
  <c r="I84" i="45"/>
  <c r="J84" i="45"/>
  <c r="K84" i="45"/>
  <c r="H85" i="45"/>
  <c r="J85" i="45"/>
  <c r="K85" i="45"/>
  <c r="C90" i="45"/>
  <c r="I90" i="45"/>
  <c r="D90" i="45"/>
  <c r="E90" i="45"/>
  <c r="J90" i="45"/>
  <c r="F90" i="45"/>
  <c r="G90" i="45"/>
  <c r="K90" i="45"/>
  <c r="H92" i="45"/>
  <c r="I92" i="45"/>
  <c r="J92" i="45"/>
  <c r="K92" i="45"/>
  <c r="H93" i="45"/>
  <c r="K93" i="45"/>
  <c r="H94" i="45"/>
  <c r="I94" i="45"/>
  <c r="J94" i="45"/>
  <c r="K94" i="45"/>
  <c r="H95" i="45"/>
  <c r="I95" i="45"/>
  <c r="J95" i="45"/>
  <c r="K95" i="45"/>
  <c r="G96" i="45"/>
  <c r="H98" i="45"/>
  <c r="J98" i="45"/>
  <c r="K98" i="45"/>
  <c r="H99" i="45"/>
  <c r="J99" i="45"/>
  <c r="K99" i="45"/>
  <c r="H100" i="45"/>
  <c r="I100" i="45"/>
  <c r="J100" i="45"/>
  <c r="K100" i="45"/>
  <c r="H101" i="45"/>
  <c r="I101" i="45"/>
  <c r="J101" i="45"/>
  <c r="K101" i="45"/>
  <c r="H102" i="45"/>
  <c r="I102" i="45"/>
  <c r="J102" i="45"/>
  <c r="K102" i="45"/>
  <c r="H103" i="45"/>
  <c r="I103" i="45"/>
  <c r="J103" i="45"/>
  <c r="K103" i="45"/>
  <c r="H104" i="45"/>
  <c r="I104" i="45"/>
  <c r="J104" i="45"/>
  <c r="K104" i="45"/>
  <c r="H105" i="45"/>
  <c r="I105" i="45"/>
  <c r="J105" i="45"/>
  <c r="K105" i="45"/>
  <c r="H106" i="45"/>
  <c r="I106" i="45"/>
  <c r="J106" i="45"/>
  <c r="K106" i="45"/>
  <c r="H107" i="45"/>
  <c r="I107" i="45"/>
  <c r="K107" i="45"/>
  <c r="H108" i="45"/>
  <c r="I108" i="45"/>
  <c r="J108" i="45"/>
  <c r="K108" i="45"/>
  <c r="H109" i="45"/>
  <c r="I109" i="45"/>
  <c r="K109" i="45"/>
  <c r="H110" i="45"/>
  <c r="I110" i="45"/>
  <c r="J110" i="45"/>
  <c r="K110" i="45"/>
  <c r="C111" i="45"/>
  <c r="I111" i="45"/>
  <c r="J111" i="45"/>
  <c r="K111" i="45"/>
  <c r="H112" i="45"/>
  <c r="I112" i="45"/>
  <c r="J112" i="45"/>
  <c r="K112" i="45"/>
  <c r="H113" i="45"/>
  <c r="K113" i="45"/>
  <c r="H114" i="45"/>
  <c r="J114" i="45"/>
  <c r="K114" i="45"/>
  <c r="H115" i="45"/>
  <c r="J115" i="45"/>
  <c r="K115" i="45"/>
  <c r="H116" i="45"/>
  <c r="I116" i="45"/>
  <c r="J116" i="45"/>
  <c r="K116" i="45"/>
  <c r="H117" i="45"/>
  <c r="I117" i="45"/>
  <c r="J117" i="45"/>
  <c r="K117" i="45"/>
  <c r="H118" i="45"/>
  <c r="J118" i="45"/>
  <c r="K118" i="45"/>
  <c r="H119" i="45"/>
  <c r="J119" i="45"/>
  <c r="K119" i="45"/>
  <c r="H120" i="45"/>
  <c r="I120" i="45"/>
  <c r="J120" i="45"/>
  <c r="K120" i="45"/>
  <c r="H121" i="45"/>
  <c r="J121" i="45"/>
  <c r="K121" i="45"/>
  <c r="H122" i="45"/>
  <c r="J122" i="45"/>
  <c r="K122" i="45"/>
  <c r="H123" i="45"/>
  <c r="J123" i="45"/>
  <c r="K123" i="45"/>
  <c r="H124" i="45"/>
  <c r="I124" i="45"/>
  <c r="J124" i="45"/>
  <c r="K124" i="45"/>
  <c r="D125" i="45"/>
  <c r="D96" i="45"/>
  <c r="D141" i="45"/>
  <c r="D182" i="45"/>
  <c r="D268" i="45"/>
  <c r="E125" i="45"/>
  <c r="E96" i="45"/>
  <c r="F125" i="45"/>
  <c r="F96" i="45"/>
  <c r="H125" i="45"/>
  <c r="I125" i="45"/>
  <c r="H126" i="45"/>
  <c r="J126" i="45"/>
  <c r="K126" i="45"/>
  <c r="H127" i="45"/>
  <c r="J127" i="45"/>
  <c r="K127" i="45"/>
  <c r="H128" i="45"/>
  <c r="J128" i="45"/>
  <c r="K128" i="45"/>
  <c r="H129" i="45"/>
  <c r="J129" i="45"/>
  <c r="K129" i="45"/>
  <c r="H130" i="45"/>
  <c r="J130" i="45"/>
  <c r="K130" i="45"/>
  <c r="H131" i="45"/>
  <c r="J131" i="45"/>
  <c r="K131" i="45"/>
  <c r="H132" i="45"/>
  <c r="J132" i="45"/>
  <c r="K132" i="45"/>
  <c r="H133" i="45"/>
  <c r="J133" i="45"/>
  <c r="K133" i="45"/>
  <c r="H134" i="45"/>
  <c r="J134" i="45"/>
  <c r="K134" i="45"/>
  <c r="H135" i="45"/>
  <c r="J135" i="45"/>
  <c r="K135" i="45"/>
  <c r="H136" i="45"/>
  <c r="J136" i="45"/>
  <c r="K136" i="45"/>
  <c r="C137" i="45"/>
  <c r="H137" i="45"/>
  <c r="D137" i="45"/>
  <c r="E137" i="45"/>
  <c r="J137" i="45"/>
  <c r="F137" i="45"/>
  <c r="G137" i="45"/>
  <c r="H138" i="45"/>
  <c r="K138" i="45"/>
  <c r="H139" i="45"/>
  <c r="J139" i="45"/>
  <c r="K139" i="45"/>
  <c r="H140" i="45"/>
  <c r="K140" i="45"/>
  <c r="C144" i="45"/>
  <c r="D144" i="45"/>
  <c r="E144" i="45"/>
  <c r="J144" i="45"/>
  <c r="F144" i="45"/>
  <c r="F143" i="45"/>
  <c r="G144" i="45"/>
  <c r="I144" i="45"/>
  <c r="H146" i="45"/>
  <c r="I146" i="45"/>
  <c r="J146" i="45"/>
  <c r="K146" i="45"/>
  <c r="H147" i="45"/>
  <c r="I147" i="45"/>
  <c r="J147" i="45"/>
  <c r="K147" i="45"/>
  <c r="H148" i="45"/>
  <c r="J148" i="45"/>
  <c r="K148" i="45"/>
  <c r="H149" i="45"/>
  <c r="I149" i="45"/>
  <c r="J149" i="45"/>
  <c r="K149" i="45"/>
  <c r="H150" i="45"/>
  <c r="J150" i="45"/>
  <c r="K150" i="45"/>
  <c r="H151" i="45"/>
  <c r="I151" i="45"/>
  <c r="J151" i="45"/>
  <c r="K151" i="45"/>
  <c r="H152" i="45"/>
  <c r="I152" i="45"/>
  <c r="J152" i="45"/>
  <c r="K152" i="45"/>
  <c r="H153" i="45"/>
  <c r="I153" i="45"/>
  <c r="J153" i="45"/>
  <c r="K153" i="45"/>
  <c r="H154" i="45"/>
  <c r="I154" i="45"/>
  <c r="J154" i="45"/>
  <c r="K154" i="45"/>
  <c r="H155" i="45"/>
  <c r="I155" i="45"/>
  <c r="K155" i="45"/>
  <c r="H156" i="45"/>
  <c r="I156" i="45"/>
  <c r="K156" i="45"/>
  <c r="H157" i="45"/>
  <c r="I157" i="45"/>
  <c r="J157" i="45"/>
  <c r="K157" i="45"/>
  <c r="H158" i="45"/>
  <c r="J158" i="45"/>
  <c r="K158" i="45"/>
  <c r="C159" i="45"/>
  <c r="D159" i="45"/>
  <c r="E159" i="45"/>
  <c r="J159" i="45"/>
  <c r="F159" i="45"/>
  <c r="G159" i="45"/>
  <c r="K159" i="45"/>
  <c r="H160" i="45"/>
  <c r="K160" i="45"/>
  <c r="H161" i="45"/>
  <c r="K161" i="45"/>
  <c r="H162" i="45"/>
  <c r="K162" i="45"/>
  <c r="H163" i="45"/>
  <c r="J163" i="45"/>
  <c r="K163" i="45"/>
  <c r="H164" i="45"/>
  <c r="J164" i="45"/>
  <c r="K164" i="45"/>
  <c r="H165" i="45"/>
  <c r="I165" i="45"/>
  <c r="J165" i="45"/>
  <c r="K165" i="45"/>
  <c r="H166" i="45"/>
  <c r="J166" i="45"/>
  <c r="K166" i="45"/>
  <c r="H167" i="45"/>
  <c r="K167" i="45"/>
  <c r="H168" i="45"/>
  <c r="J168" i="45"/>
  <c r="K168" i="45"/>
  <c r="H169" i="45"/>
  <c r="J169" i="45"/>
  <c r="K169" i="45"/>
  <c r="K170" i="45"/>
  <c r="H171" i="45"/>
  <c r="I171" i="45"/>
  <c r="J171" i="45"/>
  <c r="K171" i="45"/>
  <c r="H172" i="45"/>
  <c r="I172" i="45"/>
  <c r="J172" i="45"/>
  <c r="K172" i="45"/>
  <c r="H173" i="45"/>
  <c r="I173" i="45"/>
  <c r="J173" i="45"/>
  <c r="K173" i="45"/>
  <c r="H174" i="45"/>
  <c r="J174" i="45"/>
  <c r="K174" i="45"/>
  <c r="H175" i="45"/>
  <c r="I175" i="45"/>
  <c r="K175" i="45"/>
  <c r="K176" i="45"/>
  <c r="H177" i="45"/>
  <c r="K177" i="45"/>
  <c r="H178" i="45"/>
  <c r="I178" i="45"/>
  <c r="J178" i="45"/>
  <c r="K178" i="45"/>
  <c r="H179" i="45"/>
  <c r="J179" i="45"/>
  <c r="K179" i="45"/>
  <c r="H180" i="45"/>
  <c r="J180" i="45"/>
  <c r="K180" i="45"/>
  <c r="H181" i="45"/>
  <c r="J181" i="45"/>
  <c r="K181" i="45"/>
  <c r="H184" i="45"/>
  <c r="I184" i="45"/>
  <c r="J184" i="45"/>
  <c r="K184" i="45"/>
  <c r="C185" i="45"/>
  <c r="H185" i="45"/>
  <c r="C208" i="45"/>
  <c r="I208" i="45"/>
  <c r="C213" i="45"/>
  <c r="I213" i="45"/>
  <c r="C249" i="45"/>
  <c r="I249" i="45"/>
  <c r="D251" i="45"/>
  <c r="E251" i="45"/>
  <c r="F251" i="45"/>
  <c r="G251" i="45"/>
  <c r="K251" i="45"/>
  <c r="C263" i="45"/>
  <c r="C251" i="45"/>
  <c r="I216" i="45"/>
  <c r="J190" i="45"/>
  <c r="J214" i="45"/>
  <c r="K214" i="45"/>
  <c r="H214" i="45"/>
  <c r="I214" i="45"/>
  <c r="I263" i="45"/>
  <c r="I215" i="45"/>
  <c r="J213" i="45"/>
  <c r="H249" i="45"/>
  <c r="J125" i="45"/>
  <c r="J34" i="45"/>
  <c r="H30" i="45"/>
  <c r="K16" i="45"/>
  <c r="K125" i="45"/>
  <c r="J12" i="45"/>
  <c r="H144" i="45"/>
  <c r="H34" i="45"/>
  <c r="I159" i="45"/>
  <c r="K52" i="45"/>
  <c r="J41" i="45"/>
  <c r="G28" i="45"/>
  <c r="J28" i="45"/>
  <c r="C96" i="45"/>
  <c r="H96" i="45"/>
  <c r="H111" i="45"/>
  <c r="I25" i="45"/>
  <c r="J25" i="45"/>
  <c r="G23" i="45"/>
  <c r="H23" i="45"/>
  <c r="H90" i="45"/>
  <c r="H55" i="45"/>
  <c r="K25" i="45"/>
  <c r="K12" i="45"/>
  <c r="J16" i="45"/>
  <c r="H25" i="45"/>
  <c r="K23" i="45"/>
  <c r="F141" i="45"/>
  <c r="F182" i="45"/>
  <c r="K208" i="45"/>
  <c r="K34" i="45"/>
  <c r="I217" i="45"/>
  <c r="J87" i="45"/>
  <c r="E250" i="45"/>
  <c r="E267" i="45"/>
  <c r="D267" i="45"/>
  <c r="J48" i="45"/>
  <c r="C52" i="45"/>
  <c r="H52" i="45"/>
  <c r="J52" i="45"/>
  <c r="K190" i="45"/>
  <c r="F250" i="45"/>
  <c r="F267" i="45"/>
  <c r="I12" i="45"/>
  <c r="K144" i="45"/>
  <c r="I43" i="45"/>
  <c r="C250" i="45"/>
  <c r="I190" i="45"/>
  <c r="I55" i="45"/>
  <c r="H190" i="45"/>
  <c r="H208" i="45"/>
  <c r="I52" i="45"/>
  <c r="I240" i="45"/>
  <c r="G250" i="45"/>
  <c r="G267" i="45"/>
  <c r="I250" i="45"/>
  <c r="K96" i="45"/>
  <c r="J96" i="45"/>
  <c r="E141" i="45"/>
  <c r="E182" i="45"/>
  <c r="E268" i="45"/>
  <c r="I16" i="45"/>
  <c r="H16" i="45"/>
  <c r="C141" i="45"/>
  <c r="C182" i="45"/>
  <c r="C267" i="45"/>
  <c r="F268" i="45"/>
  <c r="J267" i="45"/>
  <c r="K267" i="45"/>
  <c r="I267" i="45"/>
  <c r="H267" i="45"/>
  <c r="H41" i="45"/>
  <c r="I41" i="45"/>
  <c r="K250" i="45"/>
  <c r="J250" i="45"/>
  <c r="H43" i="45"/>
  <c r="H216" i="45"/>
  <c r="K80" i="45"/>
  <c r="H251" i="45"/>
  <c r="J251" i="45"/>
  <c r="K28" i="45"/>
  <c r="I96" i="45"/>
  <c r="I19" i="45"/>
  <c r="I80" i="45"/>
  <c r="I48" i="45"/>
  <c r="I23" i="45"/>
  <c r="K60" i="45"/>
  <c r="K30" i="45"/>
  <c r="H80" i="45"/>
  <c r="H215" i="45"/>
  <c r="H263" i="45"/>
  <c r="J30" i="45"/>
  <c r="H19" i="45"/>
  <c r="K87" i="45"/>
  <c r="J216" i="45"/>
  <c r="H250" i="45"/>
  <c r="G141" i="45"/>
  <c r="H60" i="45"/>
  <c r="H28" i="45"/>
  <c r="H217" i="45"/>
  <c r="J60" i="45"/>
  <c r="I251" i="45"/>
  <c r="K137" i="45"/>
  <c r="K215" i="45"/>
  <c r="K48" i="45"/>
  <c r="H213" i="45"/>
  <c r="J23" i="45"/>
  <c r="H159" i="45"/>
  <c r="J217" i="45"/>
  <c r="C268" i="45"/>
  <c r="G182" i="45"/>
  <c r="K141" i="45"/>
  <c r="H141" i="45"/>
  <c r="I141" i="45"/>
  <c r="J141" i="45"/>
  <c r="J182" i="45"/>
  <c r="I182" i="45"/>
  <c r="K182" i="45"/>
  <c r="H182" i="45"/>
  <c r="G268" i="45"/>
  <c r="K268" i="45"/>
  <c r="J268" i="45"/>
  <c r="H268" i="45"/>
  <c r="I268" i="45"/>
</calcChain>
</file>

<file path=xl/sharedStrings.xml><?xml version="1.0" encoding="utf-8"?>
<sst xmlns="http://schemas.openxmlformats.org/spreadsheetml/2006/main" count="367" uniqueCount="292">
  <si>
    <t>Звіт</t>
  </si>
  <si>
    <t xml:space="preserve">про виконання міського бюджету по видатках </t>
  </si>
  <si>
    <t>Органи місцевого самоврядування</t>
  </si>
  <si>
    <t>в тому числі:</t>
  </si>
  <si>
    <t>- видатки на  утримання органів місцевого самоврядування</t>
  </si>
  <si>
    <t>видатки на утримання органів місцевого самоврядування із фонду на виконання звернень депутатів та доручень виборців</t>
  </si>
  <si>
    <t>Освіта</t>
  </si>
  <si>
    <t>- видатки на  утримання установ освіти</t>
  </si>
  <si>
    <t>- видатки на оздоровлення та відпочинку дітей</t>
  </si>
  <si>
    <t>Охорона здоров'я</t>
  </si>
  <si>
    <t>в.т.ч.</t>
  </si>
  <si>
    <t>видатки на утримання установ охорони здоров'я</t>
  </si>
  <si>
    <t>Соціальний захист та соціальне забезпечення (без субвенцій із Державного бюджету)</t>
  </si>
  <si>
    <t>видатки на соціальний захист</t>
  </si>
  <si>
    <t>видатки на соціальний захист із фонду на виконання звернень депутатів та доручень виборців</t>
  </si>
  <si>
    <t>Житлово-комунальне господарство</t>
  </si>
  <si>
    <t xml:space="preserve"> в тому числі:</t>
  </si>
  <si>
    <t>- видатки на утримання житлово-комунального господарства</t>
  </si>
  <si>
    <t>- видатки на утримання житлово-комунального господарства із фонду на виконання звернень депутатів та доручень виборців</t>
  </si>
  <si>
    <t>Культура</t>
  </si>
  <si>
    <t>- видатки на  утримання установ культури</t>
  </si>
  <si>
    <t>- видатки, для проведення заходів пов'язаних з відзначенням державних, релігійних свят</t>
  </si>
  <si>
    <t>Засоби масової інформації</t>
  </si>
  <si>
    <t>Фізична культура і спорт</t>
  </si>
  <si>
    <t>в т.ч.:</t>
  </si>
  <si>
    <t>- спортивні школи</t>
  </si>
  <si>
    <t>- програма економічного і соціального розвитку</t>
  </si>
  <si>
    <t>Обслуговування внутрішнього боргу</t>
  </si>
  <si>
    <t>Резервний фонд</t>
  </si>
  <si>
    <t>Інші субвенції</t>
  </si>
  <si>
    <t>Інші видатки</t>
  </si>
  <si>
    <t>- примусове виконання рішень суду</t>
  </si>
  <si>
    <t>- виконання рішень судів, стягнення судових витрат</t>
  </si>
  <si>
    <t>Внутрішнє кредитування</t>
  </si>
  <si>
    <t>- надання пільгового довгострокового кредиту громадянам на будівництво (реконструкцію) та придбання житла</t>
  </si>
  <si>
    <t>- надання  пільгового кредиту  індивідуальним сільським забудовникам</t>
  </si>
  <si>
    <t xml:space="preserve"> - відшкодування пільг </t>
  </si>
  <si>
    <t xml:space="preserve"> - відшкодування  субсидій</t>
  </si>
  <si>
    <t xml:space="preserve"> - видатки на утримання дітей-сиріт в прийомних сім'ях</t>
  </si>
  <si>
    <t xml:space="preserve"> - компенсація за пільговий проїзд окремих категорій громадян</t>
  </si>
  <si>
    <t>Субвенція з обласного бюджету та інших бюджетів</t>
  </si>
  <si>
    <t xml:space="preserve"> - витрати на поховання учасникам бойових дій</t>
  </si>
  <si>
    <t>- пільги на медичне обслуговування громадян, які постраждали внаслідок Чорнобильської катастрофи</t>
  </si>
  <si>
    <t>Всього видатків по загальному фонду</t>
  </si>
  <si>
    <t>Спеціальний фонд</t>
  </si>
  <si>
    <t>видатки  із фонду на виконання звернень депутатів та доручень виборців</t>
  </si>
  <si>
    <t>170703</t>
  </si>
  <si>
    <t>Видатки на проведення робіт, пов'язаних з будівництвом, реконструкцією, ремонтом та утриманням автомобільних доріг</t>
  </si>
  <si>
    <t>Видатки за рахунок власних надходжень бюджетних установ та організацій</t>
  </si>
  <si>
    <t>Разом видатків спеціального фонду з власних надходжень:</t>
  </si>
  <si>
    <t xml:space="preserve"> </t>
  </si>
  <si>
    <t>Субвенції з державного, обласного і інших бюджетів (спеціальний фонд):</t>
  </si>
  <si>
    <t>Разом видатків спеціального фонду</t>
  </si>
  <si>
    <t>Всього видатків загального і спеціального фондів</t>
  </si>
  <si>
    <t>- видатки на  утримання установ культури з фонду на виконання звернень депутатів та доручень виборців</t>
  </si>
  <si>
    <t>Утримання клубів підлітків за місцем проживання</t>
  </si>
  <si>
    <t xml:space="preserve"> Видатки бюджету загального фонду</t>
  </si>
  <si>
    <t>-спортивні заходи</t>
  </si>
  <si>
    <t>видатки на утримання установ освіти із фонду на виконання звернень депутатів та доручень виборців</t>
  </si>
  <si>
    <t>видатки на утримання установ охорони здоров"я із фонду на виконання звернень депутатів та доручень виборців</t>
  </si>
  <si>
    <t>- видатки на  утримання установ культури із фонду на виконання звернень депутатів та доручень виборців</t>
  </si>
  <si>
    <t>- видатки на  утримання установ фізичної культури із фонду на виконання звернень депутатів та доручень виборців</t>
  </si>
  <si>
    <t xml:space="preserve">видатки на соціальний захист із резервного фонду </t>
  </si>
  <si>
    <t>Додаток 2</t>
  </si>
  <si>
    <t>до рішення ___________сесії міської ради</t>
  </si>
  <si>
    <t>абсолютна +;-</t>
  </si>
  <si>
    <t>відносна %</t>
  </si>
  <si>
    <t>Динаміка виконання до відповідного періоду минулого року</t>
  </si>
  <si>
    <t>10</t>
  </si>
  <si>
    <t>Разом видатки</t>
  </si>
  <si>
    <t>Секретар міської ради</t>
  </si>
  <si>
    <t>Муніципальна програма " Духовне життя на 2013-2015 р.р. "</t>
  </si>
  <si>
    <t>Відшкодування комунальних послуг за призовну дільницю</t>
  </si>
  <si>
    <t>- видатки на  утримання установ фізкультури з фонду на виконання звернень депутатів та доручень виборців</t>
  </si>
  <si>
    <t xml:space="preserve">- видатки на  утримання установ соціального захистуз фонду на виконання звернень депутатів та доручень виборців </t>
  </si>
  <si>
    <t>- видатки на  утримання установ охорони здоровя з фонду на виконання звернень депутатів та доручень виборців</t>
  </si>
  <si>
    <t>від _______________№______</t>
  </si>
  <si>
    <t xml:space="preserve">видатки на утримання установ фізичної культури і спорту  </t>
  </si>
  <si>
    <t xml:space="preserve">- видатки на  утримання установ освіти з фонду на виконання звернень депутатів та доручень виборців </t>
  </si>
  <si>
    <t>Реверсна дотація</t>
  </si>
  <si>
    <t xml:space="preserve"> - державна допомога сім'ям з дітьми, малозабезпеченим сімям,інвалідам з дитинства, дітям-інвалідам, тимчасова допомога та  допомога по догляду за інвалідом 1 чи 11 гр. внаслідок психічного розладу.</t>
  </si>
  <si>
    <t>Медична субвенція з державного бюджету місцевим бюджетам</t>
  </si>
  <si>
    <t>Освітня субвенція з державного бюджету місцевим бюджетам</t>
  </si>
  <si>
    <t>Субвенції  з державного бюджету</t>
  </si>
  <si>
    <t>субвенція з с.Хриплин на утримання лікарської амбулаторії</t>
  </si>
  <si>
    <t xml:space="preserve">субвенція з с.Крихівці на утримання лікарської амбулаторії </t>
  </si>
  <si>
    <t>субвенція з с.Угорники на утримання віділення сімейної медицини</t>
  </si>
  <si>
    <t>11</t>
  </si>
  <si>
    <t>Програма розвитку місцевого самоврядування та громадянського суспільства в м.Івано-Франківську на 2016-2020 роки</t>
  </si>
  <si>
    <t>Субвенція с.Хриплин для Хриплинської ЗОШ</t>
  </si>
  <si>
    <t>Субвенція с.Крихівці для Крихівецької ЗОШ</t>
  </si>
  <si>
    <t xml:space="preserve">субвенція з с.Вовчинець на утримання лікарської амбулаторії </t>
  </si>
  <si>
    <t>Міська цільова програма "Партиципаторне бюджетування (бюджет участі) у м.Івано-Франківськ"</t>
  </si>
  <si>
    <t>Комплексна програма запобігання виникненню надзвичайних ситуації природного і техногенного характеру та підвищення рівня готовності аварійно-рятувальної служби на 2016-2020 роки</t>
  </si>
  <si>
    <t xml:space="preserve"> Комплексна цільова соціальна програма розвитку цивільного захисту населення та території міста Івано-Франківська від надзвичайних ситуацій природного і техногенного характеру на 2016-2020 роки"</t>
  </si>
  <si>
    <t>- Програма розвитку місцевого самоврядування та громадянського суспільства в м.Івано-Франківську на 2016-2020 роки</t>
  </si>
  <si>
    <t>Будівництво та придбання житла для окремих категорій населення</t>
  </si>
  <si>
    <t>150118</t>
  </si>
  <si>
    <t>О.  Савчук</t>
  </si>
  <si>
    <t>Найменування видатків</t>
  </si>
  <si>
    <t>1000</t>
  </si>
  <si>
    <t>0180</t>
  </si>
  <si>
    <t>Державне управління</t>
  </si>
  <si>
    <t>2000</t>
  </si>
  <si>
    <t>3000</t>
  </si>
  <si>
    <t xml:space="preserve">Соціальний захист та соціальне забезпечення  </t>
  </si>
  <si>
    <t>4000</t>
  </si>
  <si>
    <t>Культура і мистецтво</t>
  </si>
  <si>
    <t>5000</t>
  </si>
  <si>
    <t>6000</t>
  </si>
  <si>
    <t xml:space="preserve">Житлово-комунальне господарство  </t>
  </si>
  <si>
    <t>Внески до статутного капіталу суб’єктів господарювання</t>
  </si>
  <si>
    <t>Видатки не відведені до основних груп</t>
  </si>
  <si>
    <t>1020</t>
  </si>
  <si>
    <t>Придбання книг для бібліотеки с. Вовчинець (субвенція з с. Вовчинець)</t>
  </si>
  <si>
    <t>Будівництво каналізаційної мережі в с. Хриплин Івано-Франківської міської ради (ПВР+роботи) (субвенція з с. Хриплин)</t>
  </si>
  <si>
    <t>Код ТПКВКМБ /ТКВКБМС</t>
  </si>
  <si>
    <t>3090</t>
  </si>
  <si>
    <t>3050</t>
  </si>
  <si>
    <t>8600</t>
  </si>
  <si>
    <t>0100,        1000,     2000,         3000,      4000,    5000,          8600</t>
  </si>
  <si>
    <t xml:space="preserve">Програма легалізації найманої праці та забезпечення кваліфікованими кадрами підприємств м. Івано-Франківська на 2017-2020 р.р.  </t>
  </si>
  <si>
    <t>Фонд на виконання звернень депутатів та доручень виборців</t>
  </si>
  <si>
    <t>2146</t>
  </si>
  <si>
    <t xml:space="preserve"> Відшкодування вартості лікарських засобів для лікування окремих захворювань</t>
  </si>
  <si>
    <t>3230</t>
  </si>
  <si>
    <t>3041-3047,3082,      3083</t>
  </si>
  <si>
    <t>3012,3022</t>
  </si>
  <si>
    <t>3011, 3021</t>
  </si>
  <si>
    <t>3242</t>
  </si>
  <si>
    <t>- видатки ( за рахунок коштів переданих із загального фонду  до  бюджету розвитку  спеціального фонду )</t>
  </si>
  <si>
    <t>0160</t>
  </si>
  <si>
    <t>7300</t>
  </si>
  <si>
    <t>Будівництво та регіональний розвиток</t>
  </si>
  <si>
    <t>Інші програми та заходи, пов'язані з економічною діяльністю</t>
  </si>
  <si>
    <t>8300</t>
  </si>
  <si>
    <t xml:space="preserve">Охорона навколишнього природного середовища 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</si>
  <si>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</si>
  <si>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</si>
  <si>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</si>
  <si>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</si>
  <si>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 xml:space="preserve">- видатки на виконання звернень депутатів та доручень виборців </t>
  </si>
  <si>
    <t>Субвенція на капітальний ремонт території с. Микитинці</t>
  </si>
  <si>
    <t>Субвенція на капітальний ремонт території с. Угорники</t>
  </si>
  <si>
    <t>Субвенція на капітальний ремонт території с. Хриплин</t>
  </si>
  <si>
    <t>Субвенція на капітальний ремонт території с.  Крихівці</t>
  </si>
  <si>
    <t>Субвенція на капітальний ремонт території с. Вовчинці</t>
  </si>
  <si>
    <t>Фонд міської ради на виконання депутатських повноважень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</si>
  <si>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</si>
  <si>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</si>
  <si>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7321</t>
  </si>
  <si>
    <t>Придбання м’ясорубки для ДНЗ №32 «Солов’ятко» (субвенція з с. Угорники)</t>
  </si>
  <si>
    <t>Придбання предметів і матеріалів довгострокового користування для ДНЗ №25 «Янголятко» (субвенція з с. Микитинці)</t>
  </si>
  <si>
    <t>Придбання комп’ютерної техніки для МП №3 (субвенція з с. Угорники)</t>
  </si>
  <si>
    <t>Розширення загальноосвітньої школи І-ІІ ступенів в с.Хриплин  (І п.к.) (субвенція з с. Хриплин)</t>
  </si>
  <si>
    <t>6030</t>
  </si>
  <si>
    <t>Фільтратопровід від полігону ТПВ в районі с. Рибне до точки врізки в міську каналізацію в м. Івано-Франківську</t>
  </si>
  <si>
    <t>8312</t>
  </si>
  <si>
    <t>9770</t>
  </si>
  <si>
    <t>1010</t>
  </si>
  <si>
    <t>2113</t>
  </si>
  <si>
    <t>4030</t>
  </si>
  <si>
    <t>7310</t>
  </si>
  <si>
    <t>3140</t>
  </si>
  <si>
    <t>3132</t>
  </si>
  <si>
    <t>видатки на утримання установ охорони здоров"я із  резервного фонду</t>
  </si>
  <si>
    <t>- видатки на утримання житлово-комунального господарства із резервного фонду</t>
  </si>
  <si>
    <t>1100</t>
  </si>
  <si>
    <t xml:space="preserve"> Надання спеціальної освіти школами естетичного виховання (музичними, художніми, хореографічними, театральними, хоровими, мистецькими)</t>
  </si>
  <si>
    <t>8400</t>
  </si>
  <si>
    <t>3033,3035,  3036</t>
  </si>
  <si>
    <t>3210</t>
  </si>
  <si>
    <t>7000</t>
  </si>
  <si>
    <t>Економічна діяльність</t>
  </si>
  <si>
    <t>7130</t>
  </si>
  <si>
    <t>Здійснення  заходів із землеустрою</t>
  </si>
  <si>
    <t>7350</t>
  </si>
  <si>
    <t xml:space="preserve"> Розроблення схем планування та забудови територій (містобудівної документації)</t>
  </si>
  <si>
    <t>7370</t>
  </si>
  <si>
    <t>7610</t>
  </si>
  <si>
    <t>-  Сприяння розвитку малого та середнього підприємництва</t>
  </si>
  <si>
    <t>7422</t>
  </si>
  <si>
    <t xml:space="preserve"> Регулювання цін на послуги місцевого наземного електротранспорту</t>
  </si>
  <si>
    <t>7622</t>
  </si>
  <si>
    <t>Реалізація програм і заходів в галузі туризму та курортів</t>
  </si>
  <si>
    <t>7640</t>
  </si>
  <si>
    <t xml:space="preserve"> Заходи з енергозбереження</t>
  </si>
  <si>
    <t>7680</t>
  </si>
  <si>
    <t>Членські внески до асоціацій органів місцевого самоврядування</t>
  </si>
  <si>
    <t>7693</t>
  </si>
  <si>
    <t>8700</t>
  </si>
  <si>
    <t>8110</t>
  </si>
  <si>
    <t xml:space="preserve"> Заходи із запобігання та ліквідації надзвичайних ситуацій та наслідків стихійного лиха</t>
  </si>
  <si>
    <t>8220</t>
  </si>
  <si>
    <t>8130</t>
  </si>
  <si>
    <t>Забезпечення діяльності місцевої пожежної охорони</t>
  </si>
  <si>
    <t>8210</t>
  </si>
  <si>
    <t>Муніципальні формування з охорони громадського порядку</t>
  </si>
  <si>
    <t>9110</t>
  </si>
  <si>
    <t>9800</t>
  </si>
  <si>
    <t>Інша діяльність у сфері державного управління</t>
  </si>
  <si>
    <t>Субвенція  с. Микитинці для ДНЗ №25 "Янголятко"</t>
  </si>
  <si>
    <t>Субвенція с. Вовчинець для Вовчинецької ЗОШ на придбання засобів навчання</t>
  </si>
  <si>
    <t>Субвенція с.Микитинці для Микитинецької ЗОШ</t>
  </si>
  <si>
    <t>субвенція з с.Микитинці на утримання віділення сімейної медицини</t>
  </si>
  <si>
    <t>за  І квартал 2019 року</t>
  </si>
  <si>
    <t>Виконано за   І квартал 2018 року</t>
  </si>
  <si>
    <t xml:space="preserve">Затверджено міською радою на 2019 рік </t>
  </si>
  <si>
    <t xml:space="preserve">Затверджено міською радою з урахуванням змін на 2019 рік </t>
  </si>
  <si>
    <t>Затверджено з урахуванням змін на І квартал 2019 року</t>
  </si>
  <si>
    <t>Виконано за   І квартал 2019 року</t>
  </si>
  <si>
    <t>Відсоток виконання  до затвердженої суми на 2019 рік із врахуванням змін</t>
  </si>
  <si>
    <t>Відхилення до затвердженої суми  на  2019 рік із врахуванням змін</t>
  </si>
  <si>
    <t xml:space="preserve"> Організація та проведення громадських робіт (Програма зайнятості населення міста Івано-Франківська на період до 2017 року</t>
  </si>
  <si>
    <t>Комплексна програма залучення  інвестицій в економіку  міста Івано-Франківська на 2016-2020 роки</t>
  </si>
  <si>
    <t>Програма промоції міста Івно-Франківська на 2016-2020 роки</t>
  </si>
  <si>
    <t>вт.ч</t>
  </si>
  <si>
    <t>Інші видатки (резервний фонд)</t>
  </si>
  <si>
    <t xml:space="preserve">Комплексна програма профілактики злочинності в місті </t>
  </si>
  <si>
    <t>- видатки на утримання КП "Муніципальна варта"</t>
  </si>
  <si>
    <t>Газета " Західний курєр"</t>
  </si>
  <si>
    <t>Утримання відділів: проектів та кошторисних розрахунків, державних закупівель</t>
  </si>
  <si>
    <t>Сектор нагляду муніципальної інспекції з благоустрою</t>
  </si>
  <si>
    <t>8103</t>
  </si>
  <si>
    <t>8106</t>
  </si>
  <si>
    <t>250404</t>
  </si>
  <si>
    <t>Субвенція на фінансування Програм-переможців Всеукраїнського конкурсу проектів та програм розвитку місцевого самоврядування</t>
  </si>
  <si>
    <t xml:space="preserve">Інші видатки( надбавка ветеранам ОУН-УПА, матеріальні допомогидодаткові виплати бійцям--добровольцям, щомісячні виплати дітям до 18 років загиблих на Майдані </t>
  </si>
  <si>
    <t>субвенція з с.Вовчинець на утримання ДНД</t>
  </si>
  <si>
    <t>субвенція з с.Крихівці на утримання ДНД</t>
  </si>
  <si>
    <t>КП "Муніципальна варта" с. Микитинці</t>
  </si>
  <si>
    <t>субвенція з с.Микитинці на утримання ДНД</t>
  </si>
  <si>
    <t>субвенція з місцевого бюджету державному бюджету на виконання програм соціально-економічного розвитку регіонів( субвенція с. Вовчинець Комплексна програма профілактики злочинності  (прокуратура))</t>
  </si>
  <si>
    <t>Інщі видатки</t>
  </si>
  <si>
    <t>- видатки на  утримання установ житлово-комунального господарства  з фонду на виконання звернень депутатів та доручень виборців</t>
  </si>
  <si>
    <t>Міська цільова  програма «Партиципаторне бюджетування (бюджет участі)  у м. Івано-Франківську»</t>
  </si>
  <si>
    <t>Муніципальна програма "Духовне життя на 2018-2019 роки"</t>
  </si>
  <si>
    <t>8420</t>
  </si>
  <si>
    <t xml:space="preserve"> інші заходи у сфері засобів масової інформації</t>
  </si>
  <si>
    <t>5062</t>
  </si>
  <si>
    <t>Програма розвитку електронного врядування Івано-Франківської МР на 2018-2019 роки</t>
  </si>
  <si>
    <t>Інші видатки (Міська цільова програма організації та відзначення в місті Івано-Франківську загальнодержавних, міських свят, державних пам'ятних дат, релігійних та історичних подій на 2018-2020 роки)</t>
  </si>
  <si>
    <t>КП "Простір Інноваційних Креацій "Палац"</t>
  </si>
  <si>
    <t>Програма розвитку системи надання адмін. послуг в м.ІФ на 2019-2022 роки</t>
  </si>
  <si>
    <t>субвенція з с.Микитинці на утримання бібліотеки</t>
  </si>
  <si>
    <t>фінансова підтримка засобів масової інформації</t>
  </si>
  <si>
    <t>8410</t>
  </si>
  <si>
    <t>Субвенція з державного бюджету на надання державної підтримки особам з особливими освітніми потребами</t>
  </si>
  <si>
    <t>Централізовані заходи з лікування хворих на цукровий та нецукровий діабет</t>
  </si>
  <si>
    <t>2144</t>
  </si>
  <si>
    <t>Субвенція з обласного бюджету для  ГО МФК " Прикарпаття"</t>
  </si>
  <si>
    <t>2111</t>
  </si>
  <si>
    <t>2112</t>
  </si>
  <si>
    <t>Субвенція з с. Микитинці для фінансування оплати за еленергію зовн. освітлення в с. Микитинці</t>
  </si>
  <si>
    <t>7412</t>
  </si>
  <si>
    <t xml:space="preserve"> Регулювання цін на послуги місцевого о автотранспорту</t>
  </si>
  <si>
    <t>Комплексна програма розвитку міжнародного та транскордоного  співробітництва м.Івано-Франківська на 2018-2022 р.р.</t>
  </si>
  <si>
    <t>Програма щодо співпраці між ПТНЗ та промисловими підприємствами і МСП міста</t>
  </si>
  <si>
    <t>Міжнародний проект "Управління та використання міської та природної культурної спадщини в містах Дунайського регіону (URBforDAN)в рамках гранової Дунайської транснаціональної програми</t>
  </si>
  <si>
    <t>Проект "Транскордонна зелена транспортна мережа" в рамках програми транскордонного співробіництва Угорщина-Словаччина_Румунія_Україна 2014-2020 рр.</t>
  </si>
  <si>
    <t xml:space="preserve">  Заходи та роботи з мобілізаційної підготовки місцевого значення (Цільова програма фінансування мобілізаційних заходів та оборонної роботи Івано-Франківської міської ради на 2019-2023р.р.)</t>
  </si>
  <si>
    <t>8230</t>
  </si>
  <si>
    <t>Інші заходи громадського порядку</t>
  </si>
  <si>
    <t>7400</t>
  </si>
  <si>
    <t>- Міська цільова програма "Партиципаторне бюджетування (бюджет участі) у м.Івано-Франківськ"</t>
  </si>
  <si>
    <t>Транспорт та транспортна інфраструктура, дорожнє господарство</t>
  </si>
  <si>
    <t>8100</t>
  </si>
  <si>
    <t>Захист населення і територій від надзвичайних ситуацій техногенного та природного характеру</t>
  </si>
  <si>
    <t>8200</t>
  </si>
  <si>
    <t>Громадський порядок та безпека</t>
  </si>
  <si>
    <t>8820</t>
  </si>
  <si>
    <t>8830</t>
  </si>
  <si>
    <t>8880</t>
  </si>
  <si>
    <t>Пільгові довгострокові кредити молодим сім’ям та одиноким молодим громадян на будівництво/придбання житла та їх повернення</t>
  </si>
  <si>
    <t>Надання пільгових довгострокових кредитів молодим сім’ям та одиноким молодим громадянам на будівництво/придбання житла</t>
  </si>
  <si>
    <t>Повернення пільгових довгострокових кредитів, наданих молодим сім’ям та одиноким молодим громадянам на будівництво/ придбання житла</t>
  </si>
  <si>
    <t>Довгострокові кредити індивідуальним забудовникам житла на селі та їх повернення</t>
  </si>
  <si>
    <t>Надання довгострокових кредитів індивідуальним забудовникам житла на селі</t>
  </si>
  <si>
    <t>Повернення довгострокових кредитів, наданих індивідуальним забудовникам житла на селі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</si>
  <si>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</si>
  <si>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</si>
  <si>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Повернення коштів, наданих для виконання гарантійних зобов'язань за позичальників, що отримали кредити під місцеві гарантії</t>
  </si>
  <si>
    <t>7600</t>
  </si>
  <si>
    <t>Субвенція обласному бюджету для Івано-Франківського Геріатричного пансіонату на придбання обладнання</t>
  </si>
  <si>
    <t>Субвенція на розвиток села Колодіївки</t>
  </si>
  <si>
    <t>Програма підтримки та розвитку Микитинецької ЗШ (субвенція з с. Микитинці)</t>
  </si>
  <si>
    <t>Придбання засобів навчання в початковій школі Вовчинецької ЗШ (субвенція з с. Вовчинець)</t>
  </si>
  <si>
    <t>Субвенція з обласного бюджету на капітальний ремонт приміщень Івано-Франківської спеціалізованої школи І-ІІІ ступенів №5 з поглибленим вивченням німецької мови на вул. І. Франка в м. Івано-Франківськ</t>
  </si>
  <si>
    <t>Придбання україномовної літератури для бібліотеки-філії №12 с. Микитинці (субвенція з с. Микитинці)</t>
  </si>
  <si>
    <t>Субвенція з обласного бюджету на встановлення дитячого спортивного майданчика на вулиці Весняній в мікрорайоні Опришівці Івано-Франківської міської ради</t>
  </si>
  <si>
    <t>Субвенція з обласного бюджету на виконання програми «Духовне життя» на 2016 – 2020 роки (придбання будівельних матеріалів для ремонтно-будівельних робіт в церкву преображення Господнього в м. Івано-Франківську</t>
  </si>
  <si>
    <t>Субвенція з обласного бюджету Крихівецькій сільській раді по обласному конкурсу проектів та програм розвитку місцевого самоврядування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</si>
</sst>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6" formatCode="#,##0.0"/>
    <numFmt numFmtId="197" formatCode="0.0"/>
  </numFmts>
  <fonts count="25" x14ac:knownFonts="1">
    <font>
      <sz val="10"/>
      <name val="Arial Cyr"/>
      <family val="2"/>
      <charset val="204"/>
    </font>
    <font>
      <sz val="10"/>
      <name val="Times New Roman Cyr"/>
      <family val="1"/>
      <charset val="204"/>
    </font>
    <font>
      <sz val="10"/>
      <name val="Arial Cyr"/>
      <family val="2"/>
      <charset val="204"/>
    </font>
    <font>
      <sz val="8"/>
      <name val="Arial"/>
      <family val="2"/>
    </font>
    <font>
      <sz val="10"/>
      <name val="Helv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1"/>
    </font>
    <font>
      <b/>
      <sz val="14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1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u/>
      <sz val="14"/>
      <name val="Times New Roman"/>
      <family val="1"/>
      <charset val="1"/>
    </font>
    <font>
      <b/>
      <sz val="16"/>
      <name val="Times New Roman"/>
      <family val="1"/>
      <charset val="1"/>
    </font>
    <font>
      <b/>
      <sz val="10"/>
      <name val="Arial Cyr"/>
      <family val="2"/>
      <charset val="204"/>
    </font>
    <font>
      <b/>
      <i/>
      <sz val="14"/>
      <name val="Times New Roman"/>
      <family val="1"/>
      <charset val="1"/>
    </font>
    <font>
      <sz val="16"/>
      <name val="Times New Roman"/>
      <family val="1"/>
      <charset val="204"/>
    </font>
    <font>
      <sz val="16"/>
      <name val="Arial Cyr"/>
      <charset val="204"/>
    </font>
    <font>
      <sz val="16"/>
      <name val="Times New Roman"/>
      <family val="1"/>
      <charset val="1"/>
    </font>
    <font>
      <sz val="12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4" fillId="0" borderId="0"/>
  </cellStyleXfs>
  <cellXfs count="150">
    <xf numFmtId="0" fontId="0" fillId="0" borderId="0" xfId="0"/>
    <xf numFmtId="196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196" fontId="7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196" fontId="6" fillId="2" borderId="0" xfId="0" applyNumberFormat="1" applyFont="1" applyFill="1" applyAlignment="1">
      <alignment vertical="center"/>
    </xf>
    <xf numFmtId="196" fontId="7" fillId="2" borderId="1" xfId="0" applyNumberFormat="1" applyFont="1" applyFill="1" applyBorder="1" applyAlignment="1">
      <alignment horizontal="center" vertical="center"/>
    </xf>
    <xf numFmtId="196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vertical="center" wrapText="1"/>
    </xf>
    <xf numFmtId="196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shrinkToFit="1"/>
    </xf>
    <xf numFmtId="196" fontId="5" fillId="2" borderId="1" xfId="0" applyNumberFormat="1" applyFont="1" applyFill="1" applyBorder="1" applyAlignment="1">
      <alignment horizontal="center" vertical="center" wrapText="1"/>
    </xf>
    <xf numFmtId="196" fontId="5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96" fontId="5" fillId="2" borderId="1" xfId="0" applyNumberFormat="1" applyFont="1" applyFill="1" applyBorder="1" applyAlignment="1">
      <alignment horizontal="center" vertical="center"/>
    </xf>
    <xf numFmtId="0" fontId="5" fillId="2" borderId="1" xfId="3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3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top" wrapText="1"/>
    </xf>
    <xf numFmtId="196" fontId="9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vertical="center" wrapText="1"/>
    </xf>
    <xf numFmtId="197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196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 wrapText="1"/>
    </xf>
    <xf numFmtId="49" fontId="5" fillId="2" borderId="1" xfId="2" applyNumberFormat="1" applyFont="1" applyFill="1" applyBorder="1" applyAlignment="1">
      <alignment horizontal="left" vertical="center" wrapText="1"/>
    </xf>
    <xf numFmtId="49" fontId="7" fillId="2" borderId="1" xfId="2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197" fontId="5" fillId="2" borderId="2" xfId="5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vertical="center" wrapText="1"/>
    </xf>
    <xf numFmtId="196" fontId="8" fillId="2" borderId="1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vertical="center" wrapText="1"/>
    </xf>
    <xf numFmtId="196" fontId="8" fillId="2" borderId="4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vertical="center" wrapText="1"/>
    </xf>
    <xf numFmtId="196" fontId="8" fillId="2" borderId="4" xfId="0" applyNumberFormat="1" applyFont="1" applyFill="1" applyBorder="1" applyAlignment="1">
      <alignment horizontal="center" vertical="center" wrapText="1"/>
    </xf>
    <xf numFmtId="196" fontId="5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196" fontId="7" fillId="2" borderId="1" xfId="0" applyNumberFormat="1" applyFont="1" applyFill="1" applyBorder="1" applyAlignment="1">
      <alignment vertical="center"/>
    </xf>
    <xf numFmtId="49" fontId="15" fillId="2" borderId="7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49" fontId="15" fillId="2" borderId="8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5" fillId="2" borderId="9" xfId="0" applyNumberFormat="1" applyFont="1" applyFill="1" applyBorder="1" applyAlignment="1">
      <alignment horizontal="left" vertical="center" wrapText="1"/>
    </xf>
    <xf numFmtId="0" fontId="5" fillId="2" borderId="10" xfId="4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vertical="top" wrapText="1"/>
    </xf>
    <xf numFmtId="49" fontId="7" fillId="2" borderId="9" xfId="0" applyNumberFormat="1" applyFont="1" applyFill="1" applyBorder="1" applyAlignment="1">
      <alignment horizontal="left" vertical="center" wrapText="1"/>
    </xf>
    <xf numFmtId="49" fontId="14" fillId="2" borderId="9" xfId="0" applyNumberFormat="1" applyFont="1" applyFill="1" applyBorder="1" applyAlignment="1">
      <alignment vertical="center" wrapText="1"/>
    </xf>
    <xf numFmtId="0" fontId="5" fillId="2" borderId="9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49" fontId="7" fillId="2" borderId="9" xfId="0" applyNumberFormat="1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vertical="center" wrapText="1"/>
    </xf>
    <xf numFmtId="196" fontId="7" fillId="2" borderId="1" xfId="1" applyNumberFormat="1" applyFont="1" applyFill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 wrapText="1"/>
    </xf>
    <xf numFmtId="49" fontId="7" fillId="2" borderId="9" xfId="2" applyNumberFormat="1" applyFont="1" applyFill="1" applyBorder="1" applyAlignment="1">
      <alignment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vertical="center" wrapText="1"/>
    </xf>
    <xf numFmtId="49" fontId="7" fillId="2" borderId="7" xfId="2" applyNumberFormat="1" applyFont="1" applyFill="1" applyBorder="1" applyAlignment="1">
      <alignment horizontal="center" vertical="center" wrapText="1"/>
    </xf>
    <xf numFmtId="49" fontId="7" fillId="2" borderId="8" xfId="2" applyNumberFormat="1" applyFont="1" applyFill="1" applyBorder="1" applyAlignment="1">
      <alignment horizontal="center" vertical="center" wrapText="1"/>
    </xf>
    <xf numFmtId="49" fontId="7" fillId="2" borderId="9" xfId="2" applyNumberFormat="1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vertical="center" wrapText="1"/>
    </xf>
    <xf numFmtId="196" fontId="5" fillId="2" borderId="1" xfId="1" applyNumberFormat="1" applyFont="1" applyFill="1" applyBorder="1" applyAlignment="1">
      <alignment horizontal="center" vertical="center"/>
    </xf>
    <xf numFmtId="196" fontId="5" fillId="2" borderId="0" xfId="0" applyNumberFormat="1" applyFont="1" applyFill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196" fontId="7" fillId="2" borderId="11" xfId="0" applyNumberFormat="1" applyFont="1" applyFill="1" applyBorder="1" applyAlignment="1">
      <alignment horizontal="center" vertical="center"/>
    </xf>
    <xf numFmtId="196" fontId="7" fillId="2" borderId="11" xfId="0" applyNumberFormat="1" applyFont="1" applyFill="1" applyBorder="1" applyAlignment="1">
      <alignment horizontal="center" vertical="center" wrapText="1"/>
    </xf>
    <xf numFmtId="0" fontId="5" fillId="2" borderId="10" xfId="4" applyNumberFormat="1" applyFont="1" applyFill="1" applyBorder="1" applyAlignment="1">
      <alignment vertical="center" wrapText="1"/>
    </xf>
    <xf numFmtId="197" fontId="7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vertical="center" wrapText="1"/>
    </xf>
    <xf numFmtId="49" fontId="7" fillId="2" borderId="1" xfId="1" applyNumberFormat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196" fontId="1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 wrapText="1" shrinkToFit="1"/>
    </xf>
    <xf numFmtId="49" fontId="6" fillId="2" borderId="1" xfId="0" applyNumberFormat="1" applyFont="1" applyFill="1" applyBorder="1" applyAlignment="1">
      <alignment vertical="center" wrapText="1" shrinkToFit="1"/>
    </xf>
    <xf numFmtId="196" fontId="6" fillId="2" borderId="1" xfId="0" applyNumberFormat="1" applyFont="1" applyFill="1" applyBorder="1" applyAlignment="1">
      <alignment horizontal="center" vertical="center"/>
    </xf>
    <xf numFmtId="196" fontId="6" fillId="2" borderId="1" xfId="0" applyNumberFormat="1" applyFont="1" applyFill="1" applyBorder="1" applyAlignment="1">
      <alignment horizontal="center" vertical="center" wrapText="1" shrinkToFit="1"/>
    </xf>
    <xf numFmtId="49" fontId="9" fillId="2" borderId="1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196" fontId="5" fillId="2" borderId="1" xfId="0" applyNumberFormat="1" applyFont="1" applyFill="1" applyBorder="1" applyAlignment="1">
      <alignment horizontal="center" vertical="center" shrinkToFit="1"/>
    </xf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 shrinkToFit="1"/>
    </xf>
    <xf numFmtId="49" fontId="5" fillId="2" borderId="8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 vertical="center" wrapText="1"/>
    </xf>
    <xf numFmtId="196" fontId="6" fillId="2" borderId="0" xfId="0" applyNumberFormat="1" applyFont="1" applyFill="1" applyBorder="1" applyAlignment="1">
      <alignment horizontal="center" vertical="center" wrapText="1"/>
    </xf>
    <xf numFmtId="196" fontId="5" fillId="2" borderId="0" xfId="0" applyNumberFormat="1" applyFont="1" applyFill="1" applyBorder="1" applyAlignment="1">
      <alignment horizontal="center" vertical="center" wrapText="1"/>
    </xf>
    <xf numFmtId="196" fontId="8" fillId="2" borderId="0" xfId="0" applyNumberFormat="1" applyFont="1" applyFill="1" applyBorder="1" applyAlignment="1">
      <alignment horizontal="center" vertical="center" wrapText="1"/>
    </xf>
    <xf numFmtId="197" fontId="7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horizontal="justify" vertical="center"/>
    </xf>
    <xf numFmtId="196" fontId="21" fillId="2" borderId="0" xfId="0" applyNumberFormat="1" applyFont="1" applyFill="1" applyAlignment="1">
      <alignment vertical="center"/>
    </xf>
    <xf numFmtId="197" fontId="22" fillId="2" borderId="0" xfId="0" applyNumberFormat="1" applyFont="1" applyFill="1" applyAlignment="1">
      <alignment vertical="center"/>
    </xf>
    <xf numFmtId="0" fontId="23" fillId="2" borderId="0" xfId="0" applyFont="1" applyFill="1" applyAlignment="1">
      <alignment horizontal="justify" vertical="center"/>
    </xf>
    <xf numFmtId="196" fontId="24" fillId="2" borderId="0" xfId="0" applyNumberFormat="1" applyFont="1" applyFill="1" applyAlignment="1">
      <alignment horizontal="center" vertical="center"/>
    </xf>
    <xf numFmtId="196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196" fontId="9" fillId="2" borderId="1" xfId="2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196" fontId="7" fillId="2" borderId="0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96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196" fontId="7" fillId="2" borderId="0" xfId="0" applyNumberFormat="1" applyFont="1" applyFill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</cellXfs>
  <cellStyles count="6">
    <cellStyle name="Обычный" xfId="0" builtinId="0"/>
    <cellStyle name="Обычный_Довідка про виконання міського бюджету по видатках" xfId="1"/>
    <cellStyle name="Обычный_Лист1" xfId="2"/>
    <cellStyle name="Обычный_Лист2" xfId="3"/>
    <cellStyle name="Обычный_місто дод.2" xfId="4"/>
    <cellStyle name="Стиль 1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B80047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23FF23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6"/>
  <sheetViews>
    <sheetView tabSelected="1" view="pageBreakPreview" zoomScale="70" zoomScaleNormal="70" zoomScaleSheetLayoutView="70" workbookViewId="0">
      <pane ySplit="10" topLeftCell="A243" activePane="bottomLeft" state="frozen"/>
      <selection pane="bottomLeft" activeCell="G243" sqref="G243"/>
    </sheetView>
  </sheetViews>
  <sheetFormatPr defaultRowHeight="18.75" x14ac:dyDescent="0.2"/>
  <cols>
    <col min="1" max="1" width="15.7109375" style="2" customWidth="1"/>
    <col min="2" max="2" width="40.7109375" style="2" customWidth="1"/>
    <col min="3" max="3" width="16.7109375" style="3" customWidth="1"/>
    <col min="4" max="4" width="17.140625" style="3" customWidth="1"/>
    <col min="5" max="6" width="16.28515625" style="3" customWidth="1"/>
    <col min="7" max="7" width="16.7109375" style="3" customWidth="1"/>
    <col min="8" max="8" width="16.28515625" style="3" customWidth="1"/>
    <col min="9" max="9" width="12.42578125" style="3" customWidth="1"/>
    <col min="10" max="10" width="14.5703125" style="3" customWidth="1"/>
    <col min="11" max="11" width="16.7109375" style="3" customWidth="1"/>
    <col min="12" max="12" width="13" style="2" bestFit="1" customWidth="1"/>
    <col min="13" max="13" width="13" style="2" customWidth="1"/>
    <col min="14" max="14" width="15.7109375" style="2" customWidth="1"/>
    <col min="15" max="15" width="12.140625" style="2" customWidth="1"/>
    <col min="16" max="16384" width="9.140625" style="2"/>
  </cols>
  <sheetData>
    <row r="1" spans="1:14" x14ac:dyDescent="0.2">
      <c r="H1" s="148" t="s">
        <v>63</v>
      </c>
      <c r="I1" s="148"/>
      <c r="J1" s="148"/>
      <c r="K1" s="148"/>
    </row>
    <row r="2" spans="1:14" x14ac:dyDescent="0.2">
      <c r="H2" s="148" t="s">
        <v>64</v>
      </c>
      <c r="I2" s="148"/>
      <c r="J2" s="148"/>
      <c r="K2" s="148"/>
    </row>
    <row r="3" spans="1:14" x14ac:dyDescent="0.2">
      <c r="H3" s="148" t="s">
        <v>76</v>
      </c>
      <c r="I3" s="148"/>
      <c r="J3" s="148"/>
      <c r="K3" s="148"/>
    </row>
    <row r="4" spans="1:14" ht="20.25" customHeight="1" x14ac:dyDescent="0.2">
      <c r="A4" s="149" t="s">
        <v>0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</row>
    <row r="5" spans="1:14" ht="19.5" customHeight="1" x14ac:dyDescent="0.2">
      <c r="A5" s="149" t="s">
        <v>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</row>
    <row r="6" spans="1:14" ht="18" customHeight="1" x14ac:dyDescent="0.2">
      <c r="A6" s="149" t="s">
        <v>205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4" ht="20.25" customHeight="1" x14ac:dyDescent="0.2">
      <c r="B7" s="142"/>
      <c r="C7" s="142"/>
      <c r="D7" s="142"/>
      <c r="E7" s="142"/>
      <c r="F7" s="142"/>
      <c r="G7" s="142"/>
      <c r="H7" s="142"/>
      <c r="I7" s="142"/>
      <c r="J7" s="142"/>
    </row>
    <row r="8" spans="1:14" ht="76.5" customHeight="1" x14ac:dyDescent="0.2">
      <c r="A8" s="143" t="s">
        <v>116</v>
      </c>
      <c r="B8" s="145" t="s">
        <v>99</v>
      </c>
      <c r="C8" s="146" t="s">
        <v>206</v>
      </c>
      <c r="D8" s="146" t="s">
        <v>207</v>
      </c>
      <c r="E8" s="146" t="s">
        <v>208</v>
      </c>
      <c r="F8" s="146" t="s">
        <v>209</v>
      </c>
      <c r="G8" s="146" t="s">
        <v>210</v>
      </c>
      <c r="H8" s="146" t="s">
        <v>67</v>
      </c>
      <c r="I8" s="146"/>
      <c r="J8" s="135" t="s">
        <v>211</v>
      </c>
      <c r="K8" s="135" t="s">
        <v>212</v>
      </c>
    </row>
    <row r="9" spans="1:14" ht="54.75" customHeight="1" x14ac:dyDescent="0.2">
      <c r="A9" s="144"/>
      <c r="B9" s="145"/>
      <c r="C9" s="146"/>
      <c r="D9" s="147"/>
      <c r="E9" s="146"/>
      <c r="F9" s="146"/>
      <c r="G9" s="146"/>
      <c r="H9" s="22" t="s">
        <v>65</v>
      </c>
      <c r="I9" s="22" t="s">
        <v>66</v>
      </c>
      <c r="J9" s="135"/>
      <c r="K9" s="135"/>
    </row>
    <row r="10" spans="1:14" s="26" customFormat="1" ht="18.75" customHeight="1" x14ac:dyDescent="0.2">
      <c r="A10" s="23">
        <v>1</v>
      </c>
      <c r="B10" s="23">
        <v>2</v>
      </c>
      <c r="C10" s="24">
        <v>3</v>
      </c>
      <c r="D10" s="24">
        <v>4</v>
      </c>
      <c r="E10" s="24">
        <v>5</v>
      </c>
      <c r="F10" s="24">
        <v>6</v>
      </c>
      <c r="G10" s="24">
        <v>7</v>
      </c>
      <c r="H10" s="24">
        <v>8</v>
      </c>
      <c r="I10" s="24">
        <v>9</v>
      </c>
      <c r="J10" s="25" t="s">
        <v>68</v>
      </c>
      <c r="K10" s="25" t="s">
        <v>87</v>
      </c>
    </row>
    <row r="11" spans="1:14" ht="25.5" customHeight="1" x14ac:dyDescent="0.2">
      <c r="A11" s="136" t="s">
        <v>56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</row>
    <row r="12" spans="1:14" s="4" customFormat="1" ht="42.75" customHeight="1" x14ac:dyDescent="0.2">
      <c r="A12" s="27" t="s">
        <v>131</v>
      </c>
      <c r="B12" s="28" t="s">
        <v>2</v>
      </c>
      <c r="C12" s="1">
        <f>C14+C15</f>
        <v>25519.8</v>
      </c>
      <c r="D12" s="1">
        <f>D14+D15</f>
        <v>146312</v>
      </c>
      <c r="E12" s="1">
        <f>E14+E15</f>
        <v>146378</v>
      </c>
      <c r="F12" s="1">
        <f>F14+F15</f>
        <v>42530.8</v>
      </c>
      <c r="G12" s="1">
        <f>G14+G15</f>
        <v>34584</v>
      </c>
      <c r="H12" s="1">
        <f>G12-C12</f>
        <v>9064.2000000000007</v>
      </c>
      <c r="I12" s="1">
        <f>((G12/C12)*100)-100</f>
        <v>35.518303434979913</v>
      </c>
      <c r="J12" s="1">
        <f>G12/E12*100</f>
        <v>23.626501250187872</v>
      </c>
      <c r="K12" s="1">
        <f>G12-E12</f>
        <v>-111794</v>
      </c>
    </row>
    <row r="13" spans="1:14" s="30" customFormat="1" ht="21" customHeight="1" x14ac:dyDescent="0.2">
      <c r="A13" s="29"/>
      <c r="B13" s="15" t="s">
        <v>3</v>
      </c>
      <c r="C13" s="17"/>
      <c r="D13" s="11"/>
      <c r="E13" s="11"/>
      <c r="F13" s="11"/>
      <c r="G13" s="17"/>
      <c r="H13" s="11"/>
      <c r="I13" s="11"/>
      <c r="J13" s="11"/>
      <c r="K13" s="1"/>
    </row>
    <row r="14" spans="1:14" ht="42" customHeight="1" x14ac:dyDescent="0.2">
      <c r="A14" s="31"/>
      <c r="B14" s="32" t="s">
        <v>4</v>
      </c>
      <c r="C14" s="17">
        <v>25519.8</v>
      </c>
      <c r="D14" s="7">
        <v>146312</v>
      </c>
      <c r="E14" s="7">
        <v>146378</v>
      </c>
      <c r="F14" s="7">
        <v>42530.8</v>
      </c>
      <c r="G14" s="17">
        <v>34584</v>
      </c>
      <c r="H14" s="11">
        <f>G14-C14</f>
        <v>9064.2000000000007</v>
      </c>
      <c r="I14" s="11">
        <f>((G14/C14)*100)-100</f>
        <v>35.518303434979913</v>
      </c>
      <c r="J14" s="11">
        <f>G14/E14*100</f>
        <v>23.626501250187872</v>
      </c>
      <c r="K14" s="11">
        <f>G14-E14</f>
        <v>-111794</v>
      </c>
    </row>
    <row r="15" spans="1:14" ht="87" hidden="1" customHeight="1" x14ac:dyDescent="0.2">
      <c r="A15" s="31"/>
      <c r="B15" s="33" t="s">
        <v>5</v>
      </c>
      <c r="C15" s="11"/>
      <c r="D15" s="7"/>
      <c r="E15" s="7"/>
      <c r="F15" s="7"/>
      <c r="G15" s="11"/>
      <c r="H15" s="11">
        <f>G15-C15</f>
        <v>0</v>
      </c>
      <c r="I15" s="11"/>
      <c r="J15" s="11"/>
      <c r="K15" s="11">
        <f>G15-E15</f>
        <v>0</v>
      </c>
    </row>
    <row r="16" spans="1:14" ht="33" customHeight="1" x14ac:dyDescent="0.2">
      <c r="A16" s="27"/>
      <c r="B16" s="34" t="s">
        <v>6</v>
      </c>
      <c r="C16" s="1">
        <f>SUM(C18:C22)</f>
        <v>109387.3</v>
      </c>
      <c r="D16" s="9">
        <f>SUM(D18:D22)</f>
        <v>494889.1</v>
      </c>
      <c r="E16" s="9">
        <f>SUM(E18:E22)</f>
        <v>495982.3</v>
      </c>
      <c r="F16" s="9">
        <f>SUM(F18:F22)</f>
        <v>200399</v>
      </c>
      <c r="G16" s="1">
        <f>SUM(G18:G22)</f>
        <v>137351.9</v>
      </c>
      <c r="H16" s="1">
        <f t="shared" ref="H16:H114" si="0">G16-C16</f>
        <v>27964.599999999991</v>
      </c>
      <c r="I16" s="1">
        <f>((G16/C16)*100)-100</f>
        <v>25.564759345920393</v>
      </c>
      <c r="J16" s="1">
        <f t="shared" ref="J16:J112" si="1">G16/E16*100</f>
        <v>27.692903557243874</v>
      </c>
      <c r="K16" s="1">
        <f t="shared" ref="K16:K114" si="2">G16-E16</f>
        <v>-358630.40000000002</v>
      </c>
      <c r="L16" s="3"/>
      <c r="M16" s="3"/>
      <c r="N16" s="3"/>
    </row>
    <row r="17" spans="1:14" ht="24" customHeight="1" x14ac:dyDescent="0.2">
      <c r="A17" s="31"/>
      <c r="B17" s="35" t="s">
        <v>3</v>
      </c>
      <c r="C17" s="11"/>
      <c r="D17" s="7"/>
      <c r="E17" s="7"/>
      <c r="F17" s="7"/>
      <c r="G17" s="11"/>
      <c r="H17" s="11"/>
      <c r="I17" s="11"/>
      <c r="J17" s="11"/>
      <c r="K17" s="11"/>
    </row>
    <row r="18" spans="1:14" ht="42" customHeight="1" x14ac:dyDescent="0.2">
      <c r="A18" s="27" t="s">
        <v>100</v>
      </c>
      <c r="B18" s="32" t="s">
        <v>7</v>
      </c>
      <c r="C18" s="6">
        <v>108244.3</v>
      </c>
      <c r="D18" s="7">
        <v>489371.1</v>
      </c>
      <c r="E18" s="7">
        <v>490411.3</v>
      </c>
      <c r="F18" s="7">
        <v>198361.2</v>
      </c>
      <c r="G18" s="6">
        <v>136082</v>
      </c>
      <c r="H18" s="11">
        <f t="shared" si="0"/>
        <v>27837.699999999997</v>
      </c>
      <c r="I18" s="11">
        <f>((G18/C18)*100)-100</f>
        <v>25.717474268852953</v>
      </c>
      <c r="J18" s="11">
        <f t="shared" si="1"/>
        <v>27.74854494584444</v>
      </c>
      <c r="K18" s="11">
        <f t="shared" si="2"/>
        <v>-354329.3</v>
      </c>
      <c r="L18" s="3"/>
      <c r="M18" s="3"/>
      <c r="N18" s="3"/>
    </row>
    <row r="19" spans="1:14" ht="82.5" customHeight="1" x14ac:dyDescent="0.2">
      <c r="A19" s="27"/>
      <c r="B19" s="33" t="s">
        <v>58</v>
      </c>
      <c r="C19" s="7">
        <f>5+124.6</f>
        <v>129.6</v>
      </c>
      <c r="D19" s="7"/>
      <c r="E19" s="7">
        <v>53</v>
      </c>
      <c r="F19" s="7">
        <v>53</v>
      </c>
      <c r="G19" s="7">
        <v>53</v>
      </c>
      <c r="H19" s="11">
        <f t="shared" si="0"/>
        <v>-76.599999999999994</v>
      </c>
      <c r="I19" s="11">
        <f>((G19/C19)*100)-100</f>
        <v>-59.104938271604937</v>
      </c>
      <c r="J19" s="11">
        <f t="shared" si="1"/>
        <v>100</v>
      </c>
      <c r="K19" s="11">
        <f t="shared" si="2"/>
        <v>0</v>
      </c>
    </row>
    <row r="20" spans="1:14" ht="96.75" hidden="1" customHeight="1" x14ac:dyDescent="0.2">
      <c r="A20" s="31" t="s">
        <v>100</v>
      </c>
      <c r="B20" s="36" t="s">
        <v>88</v>
      </c>
      <c r="C20" s="37"/>
      <c r="D20" s="37"/>
      <c r="E20" s="37"/>
      <c r="F20" s="37"/>
      <c r="G20" s="37"/>
      <c r="H20" s="11">
        <f t="shared" si="0"/>
        <v>0</v>
      </c>
      <c r="I20" s="11" t="e">
        <f>((G20/C20)*100)-100</f>
        <v>#DIV/0!</v>
      </c>
      <c r="J20" s="11" t="e">
        <f t="shared" si="1"/>
        <v>#DIV/0!</v>
      </c>
      <c r="K20" s="11">
        <f t="shared" si="2"/>
        <v>0</v>
      </c>
    </row>
    <row r="21" spans="1:14" ht="42" customHeight="1" x14ac:dyDescent="0.2">
      <c r="A21" s="27" t="s">
        <v>163</v>
      </c>
      <c r="B21" s="32" t="s">
        <v>8</v>
      </c>
      <c r="C21" s="6"/>
      <c r="D21" s="7">
        <v>1200</v>
      </c>
      <c r="E21" s="7">
        <v>1200</v>
      </c>
      <c r="F21" s="7">
        <v>200</v>
      </c>
      <c r="G21" s="6"/>
      <c r="H21" s="11">
        <f t="shared" si="0"/>
        <v>0</v>
      </c>
      <c r="I21" s="11"/>
      <c r="J21" s="11">
        <f t="shared" si="1"/>
        <v>0</v>
      </c>
      <c r="K21" s="11">
        <f t="shared" si="2"/>
        <v>-1200</v>
      </c>
    </row>
    <row r="22" spans="1:14" ht="41.25" customHeight="1" x14ac:dyDescent="0.2">
      <c r="A22" s="27" t="s">
        <v>164</v>
      </c>
      <c r="B22" s="16" t="s">
        <v>55</v>
      </c>
      <c r="C22" s="6">
        <v>1013.4</v>
      </c>
      <c r="D22" s="7">
        <v>4318</v>
      </c>
      <c r="E22" s="7">
        <v>4318</v>
      </c>
      <c r="F22" s="7">
        <v>1784.8</v>
      </c>
      <c r="G22" s="6">
        <v>1216.9000000000001</v>
      </c>
      <c r="H22" s="11">
        <f t="shared" si="0"/>
        <v>203.50000000000011</v>
      </c>
      <c r="I22" s="11">
        <f>((G22/C22)*100)-100</f>
        <v>20.080915729228337</v>
      </c>
      <c r="J22" s="11">
        <f t="shared" si="1"/>
        <v>28.182028716998612</v>
      </c>
      <c r="K22" s="11">
        <f t="shared" si="2"/>
        <v>-3101.1</v>
      </c>
    </row>
    <row r="23" spans="1:14" ht="37.5" customHeight="1" x14ac:dyDescent="0.2">
      <c r="A23" s="27" t="s">
        <v>103</v>
      </c>
      <c r="B23" s="38" t="s">
        <v>9</v>
      </c>
      <c r="C23" s="9">
        <f>SUM(C25:C27)</f>
        <v>7974.5</v>
      </c>
      <c r="D23" s="9">
        <f>SUM(D25:D27)</f>
        <v>40481</v>
      </c>
      <c r="E23" s="9">
        <f>SUM(E25:E27)</f>
        <v>44700</v>
      </c>
      <c r="F23" s="9">
        <f>SUM(F25:F27)</f>
        <v>25327.5</v>
      </c>
      <c r="G23" s="9">
        <f>SUM(G25:G27)</f>
        <v>10532.5</v>
      </c>
      <c r="H23" s="1">
        <f t="shared" si="0"/>
        <v>2558</v>
      </c>
      <c r="I23" s="1">
        <f>((G23/C23)*100)-100</f>
        <v>32.077246222333713</v>
      </c>
      <c r="J23" s="1">
        <f t="shared" si="1"/>
        <v>23.562639821029084</v>
      </c>
      <c r="K23" s="1">
        <f t="shared" si="2"/>
        <v>-34167.5</v>
      </c>
      <c r="L23" s="3"/>
      <c r="M23" s="3"/>
      <c r="N23" s="3"/>
    </row>
    <row r="24" spans="1:14" x14ac:dyDescent="0.2">
      <c r="A24" s="31"/>
      <c r="B24" s="33" t="s">
        <v>10</v>
      </c>
      <c r="C24" s="9"/>
      <c r="D24" s="9"/>
      <c r="E24" s="9"/>
      <c r="F24" s="9"/>
      <c r="G24" s="9"/>
      <c r="H24" s="11"/>
      <c r="I24" s="11"/>
      <c r="J24" s="1"/>
      <c r="K24" s="11"/>
    </row>
    <row r="25" spans="1:14" ht="44.25" customHeight="1" x14ac:dyDescent="0.2">
      <c r="A25" s="31"/>
      <c r="B25" s="33" t="s">
        <v>11</v>
      </c>
      <c r="C25" s="7">
        <v>7879.6</v>
      </c>
      <c r="D25" s="7">
        <v>40481</v>
      </c>
      <c r="E25" s="7">
        <v>44687.4</v>
      </c>
      <c r="F25" s="7">
        <v>25314.9</v>
      </c>
      <c r="G25" s="7">
        <f>10533.8-13.9</f>
        <v>10519.9</v>
      </c>
      <c r="H25" s="11">
        <f t="shared" si="0"/>
        <v>2640.2999999999993</v>
      </c>
      <c r="I25" s="11">
        <f>((G25/C25)*100)-100</f>
        <v>33.508046093710334</v>
      </c>
      <c r="J25" s="1">
        <f t="shared" si="1"/>
        <v>23.541087644391929</v>
      </c>
      <c r="K25" s="11">
        <f t="shared" si="2"/>
        <v>-34167.5</v>
      </c>
      <c r="N25" s="3"/>
    </row>
    <row r="26" spans="1:14" ht="81" customHeight="1" x14ac:dyDescent="0.2">
      <c r="A26" s="31"/>
      <c r="B26" s="33" t="s">
        <v>59</v>
      </c>
      <c r="C26" s="7">
        <v>84.9</v>
      </c>
      <c r="D26" s="7"/>
      <c r="E26" s="7">
        <v>12.6</v>
      </c>
      <c r="F26" s="7">
        <v>12.6</v>
      </c>
      <c r="G26" s="7">
        <v>12.6</v>
      </c>
      <c r="H26" s="1">
        <f t="shared" si="0"/>
        <v>-72.300000000000011</v>
      </c>
      <c r="I26" s="11">
        <f>((G26/C26)*100)-100</f>
        <v>-85.159010600706722</v>
      </c>
      <c r="J26" s="1">
        <f t="shared" si="1"/>
        <v>100</v>
      </c>
      <c r="K26" s="11">
        <f t="shared" si="2"/>
        <v>0</v>
      </c>
    </row>
    <row r="27" spans="1:14" ht="58.9" customHeight="1" x14ac:dyDescent="0.2">
      <c r="A27" s="31"/>
      <c r="B27" s="33" t="s">
        <v>165</v>
      </c>
      <c r="C27" s="7">
        <v>10</v>
      </c>
      <c r="D27" s="7"/>
      <c r="E27" s="7"/>
      <c r="F27" s="7"/>
      <c r="G27" s="7"/>
      <c r="H27" s="1">
        <f t="shared" si="0"/>
        <v>-10</v>
      </c>
      <c r="I27" s="1"/>
      <c r="J27" s="1"/>
      <c r="K27" s="1">
        <f>G27-E27</f>
        <v>0</v>
      </c>
      <c r="L27" s="3"/>
      <c r="M27" s="3"/>
    </row>
    <row r="28" spans="1:14" ht="71.25" customHeight="1" x14ac:dyDescent="0.2">
      <c r="A28" s="27" t="s">
        <v>104</v>
      </c>
      <c r="B28" s="38" t="s">
        <v>12</v>
      </c>
      <c r="C28" s="9">
        <f>C30+C31+C33++C32</f>
        <v>5960.7</v>
      </c>
      <c r="D28" s="9">
        <f>D30+D31+D33++D32</f>
        <v>31323.5</v>
      </c>
      <c r="E28" s="9">
        <f>E30+E31+E33++E32</f>
        <v>31565</v>
      </c>
      <c r="F28" s="9">
        <f>F30+F31+F33++F32</f>
        <v>13002.7</v>
      </c>
      <c r="G28" s="9">
        <f>G30+G31+G33++G32</f>
        <v>6742.7999999999993</v>
      </c>
      <c r="H28" s="1">
        <f t="shared" si="0"/>
        <v>782.09999999999945</v>
      </c>
      <c r="I28" s="1">
        <f>((G28/C28)*100)-100</f>
        <v>13.120942171221486</v>
      </c>
      <c r="J28" s="1">
        <f t="shared" si="1"/>
        <v>21.361634722002215</v>
      </c>
      <c r="K28" s="1">
        <f t="shared" si="2"/>
        <v>-24822.2</v>
      </c>
      <c r="L28" s="3"/>
      <c r="M28" s="3"/>
      <c r="N28" s="3"/>
    </row>
    <row r="29" spans="1:14" x14ac:dyDescent="0.2">
      <c r="A29" s="31"/>
      <c r="B29" s="33" t="s">
        <v>10</v>
      </c>
      <c r="C29" s="9"/>
      <c r="D29" s="9"/>
      <c r="E29" s="9"/>
      <c r="F29" s="9"/>
      <c r="G29" s="9"/>
      <c r="H29" s="11">
        <f t="shared" si="0"/>
        <v>0</v>
      </c>
      <c r="I29" s="11"/>
      <c r="J29" s="11"/>
      <c r="K29" s="11">
        <f t="shared" si="2"/>
        <v>0</v>
      </c>
    </row>
    <row r="30" spans="1:14" ht="30.75" customHeight="1" x14ac:dyDescent="0.2">
      <c r="A30" s="31"/>
      <c r="B30" s="33" t="s">
        <v>13</v>
      </c>
      <c r="C30" s="7">
        <v>5518.7</v>
      </c>
      <c r="D30" s="7">
        <v>31323.5</v>
      </c>
      <c r="E30" s="7">
        <v>31323.5</v>
      </c>
      <c r="F30" s="7">
        <v>12761.2</v>
      </c>
      <c r="G30" s="7">
        <f>6533.9-7.6</f>
        <v>6526.2999999999993</v>
      </c>
      <c r="H30" s="7">
        <f t="shared" si="0"/>
        <v>1007.5999999999995</v>
      </c>
      <c r="I30" s="7">
        <f>((G30/C30)*100)-100</f>
        <v>18.257923061590574</v>
      </c>
      <c r="J30" s="7">
        <f t="shared" si="1"/>
        <v>20.835155713761232</v>
      </c>
      <c r="K30" s="7">
        <f t="shared" si="2"/>
        <v>-24797.200000000001</v>
      </c>
      <c r="L30" s="3"/>
      <c r="M30" s="3"/>
      <c r="N30" s="3"/>
    </row>
    <row r="31" spans="1:14" ht="64.5" customHeight="1" x14ac:dyDescent="0.2">
      <c r="A31" s="31"/>
      <c r="B31" s="33" t="s">
        <v>14</v>
      </c>
      <c r="C31" s="7">
        <v>436</v>
      </c>
      <c r="D31" s="7"/>
      <c r="E31" s="7">
        <v>196.5</v>
      </c>
      <c r="F31" s="7">
        <v>196.5</v>
      </c>
      <c r="G31" s="7">
        <v>196.5</v>
      </c>
      <c r="H31" s="11">
        <f t="shared" si="0"/>
        <v>-239.5</v>
      </c>
      <c r="I31" s="11">
        <f>((G31/C31)*100)-100</f>
        <v>-54.931192660550458</v>
      </c>
      <c r="J31" s="11">
        <f t="shared" si="1"/>
        <v>100</v>
      </c>
      <c r="K31" s="11">
        <f t="shared" si="2"/>
        <v>0</v>
      </c>
    </row>
    <row r="32" spans="1:14" ht="90" customHeight="1" x14ac:dyDescent="0.2">
      <c r="A32" s="31"/>
      <c r="B32" s="16" t="s">
        <v>236</v>
      </c>
      <c r="C32" s="37"/>
      <c r="D32" s="37"/>
      <c r="E32" s="37">
        <v>20</v>
      </c>
      <c r="F32" s="37">
        <v>20</v>
      </c>
      <c r="G32" s="37">
        <v>20</v>
      </c>
      <c r="H32" s="11">
        <f t="shared" si="0"/>
        <v>20</v>
      </c>
      <c r="I32" s="11"/>
      <c r="J32" s="11">
        <f t="shared" si="1"/>
        <v>100</v>
      </c>
      <c r="K32" s="11">
        <f t="shared" si="2"/>
        <v>0</v>
      </c>
    </row>
    <row r="33" spans="1:14" ht="44.25" customHeight="1" x14ac:dyDescent="0.2">
      <c r="A33" s="31"/>
      <c r="B33" s="33" t="s">
        <v>62</v>
      </c>
      <c r="C33" s="7">
        <v>6</v>
      </c>
      <c r="D33" s="7"/>
      <c r="E33" s="7">
        <v>25</v>
      </c>
      <c r="F33" s="7">
        <v>25</v>
      </c>
      <c r="G33" s="7"/>
      <c r="H33" s="11">
        <f t="shared" si="0"/>
        <v>-6</v>
      </c>
      <c r="I33" s="11"/>
      <c r="J33" s="11"/>
      <c r="K33" s="11">
        <f t="shared" si="2"/>
        <v>-25</v>
      </c>
    </row>
    <row r="34" spans="1:14" ht="39.75" customHeight="1" x14ac:dyDescent="0.2">
      <c r="A34" s="39" t="s">
        <v>109</v>
      </c>
      <c r="B34" s="34" t="s">
        <v>15</v>
      </c>
      <c r="C34" s="9">
        <f>C36+C37+C40+C38+C39</f>
        <v>14720.7</v>
      </c>
      <c r="D34" s="9">
        <f>D36+D37+D40+D38+D39</f>
        <v>121741</v>
      </c>
      <c r="E34" s="9">
        <f>E36+E37+E40+E38+E39</f>
        <v>114951.09999999999</v>
      </c>
      <c r="F34" s="9">
        <f>F36+F37+F40+F38+F39</f>
        <v>35621.800000000003</v>
      </c>
      <c r="G34" s="9">
        <f>G36+G37+G40+G38+G39</f>
        <v>26061.200000000001</v>
      </c>
      <c r="H34" s="1">
        <f t="shared" si="0"/>
        <v>11340.5</v>
      </c>
      <c r="I34" s="1">
        <f>((G34/C34)*100)-100</f>
        <v>77.037776736160623</v>
      </c>
      <c r="J34" s="1">
        <f t="shared" si="1"/>
        <v>22.671553382264285</v>
      </c>
      <c r="K34" s="1">
        <f t="shared" si="2"/>
        <v>-88889.9</v>
      </c>
      <c r="L34" s="3"/>
      <c r="M34" s="3"/>
      <c r="N34" s="3"/>
    </row>
    <row r="35" spans="1:14" ht="21" customHeight="1" x14ac:dyDescent="0.2">
      <c r="A35" s="31"/>
      <c r="B35" s="35" t="s">
        <v>16</v>
      </c>
      <c r="C35" s="6"/>
      <c r="D35" s="7"/>
      <c r="E35" s="7"/>
      <c r="F35" s="7"/>
      <c r="G35" s="6"/>
      <c r="H35" s="11"/>
      <c r="I35" s="11"/>
      <c r="J35" s="11"/>
      <c r="K35" s="11"/>
    </row>
    <row r="36" spans="1:14" ht="43.5" customHeight="1" x14ac:dyDescent="0.2">
      <c r="A36" s="31"/>
      <c r="B36" s="32" t="s">
        <v>17</v>
      </c>
      <c r="C36" s="6">
        <v>14697.7</v>
      </c>
      <c r="D36" s="7">
        <v>121741</v>
      </c>
      <c r="E36" s="7">
        <v>114841.9</v>
      </c>
      <c r="F36" s="7">
        <v>35512.6</v>
      </c>
      <c r="G36" s="6">
        <v>26003</v>
      </c>
      <c r="H36" s="11">
        <f t="shared" si="0"/>
        <v>11305.3</v>
      </c>
      <c r="I36" s="11">
        <f>((G36/C36)*100)-100</f>
        <v>76.918837641263593</v>
      </c>
      <c r="J36" s="11">
        <f t="shared" si="1"/>
        <v>22.642432770617692</v>
      </c>
      <c r="K36" s="11">
        <f t="shared" si="2"/>
        <v>-88838.9</v>
      </c>
      <c r="N36" s="3"/>
    </row>
    <row r="37" spans="1:14" ht="84.75" hidden="1" customHeight="1" x14ac:dyDescent="0.2">
      <c r="A37" s="31"/>
      <c r="B37" s="32" t="s">
        <v>166</v>
      </c>
      <c r="C37" s="7"/>
      <c r="D37" s="7"/>
      <c r="E37" s="7"/>
      <c r="F37" s="7"/>
      <c r="G37" s="7"/>
      <c r="H37" s="11">
        <f t="shared" si="0"/>
        <v>0</v>
      </c>
      <c r="I37" s="11" t="e">
        <f>((G37/C37)*100)-100</f>
        <v>#DIV/0!</v>
      </c>
      <c r="J37" s="11" t="e">
        <f>G37/E37*100</f>
        <v>#DIV/0!</v>
      </c>
      <c r="K37" s="11">
        <f>G37-E37</f>
        <v>0</v>
      </c>
    </row>
    <row r="38" spans="1:14" ht="84.75" customHeight="1" x14ac:dyDescent="0.2">
      <c r="A38" s="31"/>
      <c r="B38" s="36" t="s">
        <v>88</v>
      </c>
      <c r="C38" s="7"/>
      <c r="D38" s="7"/>
      <c r="E38" s="7">
        <v>41.3</v>
      </c>
      <c r="F38" s="7">
        <v>41.3</v>
      </c>
      <c r="G38" s="7"/>
      <c r="H38" s="11">
        <f t="shared" si="0"/>
        <v>0</v>
      </c>
      <c r="I38" s="11"/>
      <c r="J38" s="11">
        <f>G38/E38*100</f>
        <v>0</v>
      </c>
      <c r="K38" s="11">
        <f>G38-E38</f>
        <v>-41.3</v>
      </c>
    </row>
    <row r="39" spans="1:14" s="42" customFormat="1" ht="96.75" customHeight="1" x14ac:dyDescent="0.2">
      <c r="A39" s="40"/>
      <c r="B39" s="32" t="s">
        <v>18</v>
      </c>
      <c r="C39" s="7">
        <v>23</v>
      </c>
      <c r="D39" s="41"/>
      <c r="E39" s="7">
        <v>18</v>
      </c>
      <c r="F39" s="7">
        <v>18</v>
      </c>
      <c r="G39" s="7">
        <v>10</v>
      </c>
      <c r="H39" s="11">
        <f>G39-C39</f>
        <v>-13</v>
      </c>
      <c r="I39" s="11">
        <f>((G39/C39)*100)-100</f>
        <v>-56.521739130434781</v>
      </c>
      <c r="J39" s="11">
        <f>G39/E39*100</f>
        <v>55.555555555555557</v>
      </c>
      <c r="K39" s="11">
        <f>G39-E39</f>
        <v>-8</v>
      </c>
    </row>
    <row r="40" spans="1:14" ht="79.900000000000006" customHeight="1" x14ac:dyDescent="0.2">
      <c r="A40" s="31"/>
      <c r="B40" s="32" t="s">
        <v>235</v>
      </c>
      <c r="C40" s="7"/>
      <c r="D40" s="7"/>
      <c r="E40" s="7">
        <v>49.9</v>
      </c>
      <c r="F40" s="7">
        <v>49.9</v>
      </c>
      <c r="G40" s="7">
        <v>48.2</v>
      </c>
      <c r="H40" s="11">
        <f t="shared" si="0"/>
        <v>48.2</v>
      </c>
      <c r="I40" s="11"/>
      <c r="J40" s="11">
        <f>G40/E40*100</f>
        <v>96.593186372745492</v>
      </c>
      <c r="K40" s="11">
        <f t="shared" si="2"/>
        <v>-1.6999999999999957</v>
      </c>
    </row>
    <row r="41" spans="1:14" ht="27.75" customHeight="1" x14ac:dyDescent="0.2">
      <c r="A41" s="27" t="s">
        <v>106</v>
      </c>
      <c r="B41" s="38" t="s">
        <v>19</v>
      </c>
      <c r="C41" s="9">
        <f>SUM(C43:C47)</f>
        <v>16263</v>
      </c>
      <c r="D41" s="9">
        <f>SUM(D43:D47)</f>
        <v>77924</v>
      </c>
      <c r="E41" s="9">
        <f>SUM(E43:E47)</f>
        <v>77949.5</v>
      </c>
      <c r="F41" s="9">
        <f>SUM(F43:F47)</f>
        <v>24148.799999999999</v>
      </c>
      <c r="G41" s="9">
        <f>SUM(G43:G47)</f>
        <v>18610.900000000001</v>
      </c>
      <c r="H41" s="11">
        <f>G41-C41</f>
        <v>2347.9000000000015</v>
      </c>
      <c r="I41" s="11">
        <f>((G41/C41)*100)-100</f>
        <v>14.437065732029765</v>
      </c>
      <c r="J41" s="11">
        <f t="shared" si="1"/>
        <v>23.87558611665245</v>
      </c>
      <c r="K41" s="11">
        <f t="shared" si="2"/>
        <v>-59338.6</v>
      </c>
      <c r="L41" s="3"/>
      <c r="M41" s="3"/>
      <c r="N41" s="3"/>
    </row>
    <row r="42" spans="1:14" ht="24" customHeight="1" x14ac:dyDescent="0.2">
      <c r="A42" s="31"/>
      <c r="B42" s="33" t="s">
        <v>3</v>
      </c>
      <c r="C42" s="6"/>
      <c r="D42" s="7"/>
      <c r="E42" s="7"/>
      <c r="F42" s="7"/>
      <c r="G42" s="6"/>
      <c r="H42" s="11"/>
      <c r="I42" s="11"/>
      <c r="J42" s="11"/>
      <c r="K42" s="11"/>
    </row>
    <row r="43" spans="1:14" ht="44.25" customHeight="1" x14ac:dyDescent="0.2">
      <c r="A43" s="31"/>
      <c r="B43" s="32" t="s">
        <v>20</v>
      </c>
      <c r="C43" s="6">
        <f>5559.3+256.4</f>
        <v>5815.7</v>
      </c>
      <c r="D43" s="7">
        <v>26977</v>
      </c>
      <c r="E43" s="7">
        <v>26967</v>
      </c>
      <c r="F43" s="7">
        <v>9111.9</v>
      </c>
      <c r="G43" s="6">
        <v>6626.6</v>
      </c>
      <c r="H43" s="11">
        <f t="shared" si="0"/>
        <v>810.90000000000055</v>
      </c>
      <c r="I43" s="11">
        <f>((G43/C43)*100)-100</f>
        <v>13.94329143525286</v>
      </c>
      <c r="J43" s="11">
        <f t="shared" si="1"/>
        <v>24.572996625505247</v>
      </c>
      <c r="K43" s="11">
        <f t="shared" si="2"/>
        <v>-20340.400000000001</v>
      </c>
      <c r="L43" s="3"/>
      <c r="M43" s="3"/>
      <c r="N43" s="3"/>
    </row>
    <row r="44" spans="1:14" ht="56.25" customHeight="1" x14ac:dyDescent="0.2">
      <c r="A44" s="31"/>
      <c r="B44" s="32" t="s">
        <v>21</v>
      </c>
      <c r="C44" s="7">
        <v>387.5</v>
      </c>
      <c r="D44" s="7">
        <v>9400</v>
      </c>
      <c r="E44" s="7">
        <v>9400</v>
      </c>
      <c r="F44" s="7">
        <v>2100</v>
      </c>
      <c r="G44" s="7">
        <v>861.4</v>
      </c>
      <c r="H44" s="11">
        <f t="shared" si="0"/>
        <v>473.9</v>
      </c>
      <c r="I44" s="11">
        <f>((G44/C44)*100)-100</f>
        <v>122.29677419354837</v>
      </c>
      <c r="J44" s="11">
        <f t="shared" si="1"/>
        <v>9.1638297872340431</v>
      </c>
      <c r="K44" s="11">
        <f t="shared" si="2"/>
        <v>-8538.6</v>
      </c>
    </row>
    <row r="45" spans="1:14" ht="113.45" customHeight="1" x14ac:dyDescent="0.2">
      <c r="A45" s="31" t="s">
        <v>167</v>
      </c>
      <c r="B45" s="32" t="s">
        <v>168</v>
      </c>
      <c r="C45" s="7">
        <v>10059.799999999999</v>
      </c>
      <c r="D45" s="7">
        <v>41547</v>
      </c>
      <c r="E45" s="7">
        <v>41530.5</v>
      </c>
      <c r="F45" s="7">
        <v>12884.9</v>
      </c>
      <c r="G45" s="7">
        <v>11114.2</v>
      </c>
      <c r="H45" s="11">
        <f>G45-C45</f>
        <v>1054.4000000000015</v>
      </c>
      <c r="I45" s="11">
        <f>((G45/C45)*100)-100</f>
        <v>10.481321696256401</v>
      </c>
      <c r="J45" s="11">
        <f t="shared" si="1"/>
        <v>26.761536701941946</v>
      </c>
      <c r="K45" s="11">
        <f>G45-E45</f>
        <v>-30416.3</v>
      </c>
    </row>
    <row r="46" spans="1:14" ht="50.45" customHeight="1" x14ac:dyDescent="0.2">
      <c r="A46" s="31"/>
      <c r="B46" s="32" t="s">
        <v>60</v>
      </c>
      <c r="C46" s="7"/>
      <c r="D46" s="7"/>
      <c r="E46" s="7">
        <v>9</v>
      </c>
      <c r="F46" s="7">
        <v>9</v>
      </c>
      <c r="G46" s="7">
        <v>8.6999999999999993</v>
      </c>
      <c r="H46" s="11">
        <f>G46-C46</f>
        <v>8.6999999999999993</v>
      </c>
      <c r="I46" s="11"/>
      <c r="J46" s="11">
        <f t="shared" si="1"/>
        <v>96.666666666666657</v>
      </c>
      <c r="K46" s="11">
        <f t="shared" si="2"/>
        <v>-0.30000000000000071</v>
      </c>
    </row>
    <row r="47" spans="1:14" s="42" customFormat="1" ht="101.45" customHeight="1" x14ac:dyDescent="0.2">
      <c r="A47" s="40"/>
      <c r="B47" s="36" t="s">
        <v>88</v>
      </c>
      <c r="C47" s="41"/>
      <c r="D47" s="41"/>
      <c r="E47" s="41">
        <v>43</v>
      </c>
      <c r="F47" s="41">
        <v>43</v>
      </c>
      <c r="G47" s="41"/>
      <c r="H47" s="11">
        <f t="shared" si="0"/>
        <v>0</v>
      </c>
      <c r="I47" s="11"/>
      <c r="J47" s="11">
        <f t="shared" si="1"/>
        <v>0</v>
      </c>
      <c r="K47" s="11">
        <f t="shared" si="2"/>
        <v>-43</v>
      </c>
    </row>
    <row r="48" spans="1:14" ht="44.25" customHeight="1" x14ac:dyDescent="0.2">
      <c r="A48" s="27" t="s">
        <v>169</v>
      </c>
      <c r="B48" s="38" t="s">
        <v>22</v>
      </c>
      <c r="C48" s="9">
        <f>C49</f>
        <v>1015.5</v>
      </c>
      <c r="D48" s="9">
        <f>D49+D50+D51</f>
        <v>7000</v>
      </c>
      <c r="E48" s="9">
        <f>E49+E50+E51</f>
        <v>7998.2</v>
      </c>
      <c r="F48" s="9">
        <f>F49+F50+F51</f>
        <v>3578.2</v>
      </c>
      <c r="G48" s="9">
        <f>G49+G50+G51</f>
        <v>2456.3000000000002</v>
      </c>
      <c r="H48" s="1">
        <f t="shared" si="0"/>
        <v>1440.8000000000002</v>
      </c>
      <c r="I48" s="1">
        <f>((G48/C48)*100)-100</f>
        <v>141.88084687346137</v>
      </c>
      <c r="J48" s="1">
        <f t="shared" si="1"/>
        <v>30.710659898477161</v>
      </c>
      <c r="K48" s="1">
        <f t="shared" si="2"/>
        <v>-5541.9</v>
      </c>
    </row>
    <row r="49" spans="1:11" ht="44.45" customHeight="1" x14ac:dyDescent="0.2">
      <c r="A49" s="27" t="s">
        <v>246</v>
      </c>
      <c r="B49" s="33" t="s">
        <v>245</v>
      </c>
      <c r="C49" s="6">
        <v>1015.5</v>
      </c>
      <c r="D49" s="7">
        <v>4500</v>
      </c>
      <c r="E49" s="7">
        <v>4500</v>
      </c>
      <c r="F49" s="7">
        <v>1950</v>
      </c>
      <c r="G49" s="6">
        <v>1475.9</v>
      </c>
      <c r="H49" s="11">
        <f t="shared" si="0"/>
        <v>460.40000000000009</v>
      </c>
      <c r="I49" s="11">
        <f>((G49/C49)*100)-100</f>
        <v>45.3372722796652</v>
      </c>
      <c r="J49" s="11">
        <f t="shared" si="1"/>
        <v>32.797777777777782</v>
      </c>
      <c r="K49" s="11">
        <f t="shared" si="2"/>
        <v>-3024.1</v>
      </c>
    </row>
    <row r="50" spans="1:11" ht="49.9" customHeight="1" x14ac:dyDescent="0.2">
      <c r="A50" s="27" t="s">
        <v>237</v>
      </c>
      <c r="B50" s="33" t="s">
        <v>238</v>
      </c>
      <c r="C50" s="6"/>
      <c r="D50" s="7">
        <v>2500</v>
      </c>
      <c r="E50" s="7">
        <v>2980</v>
      </c>
      <c r="F50" s="7">
        <v>1110</v>
      </c>
      <c r="G50" s="6">
        <v>480</v>
      </c>
      <c r="H50" s="11">
        <f t="shared" si="0"/>
        <v>480</v>
      </c>
      <c r="I50" s="11"/>
      <c r="J50" s="11">
        <f t="shared" si="1"/>
        <v>16.107382550335569</v>
      </c>
      <c r="K50" s="11">
        <f t="shared" si="2"/>
        <v>-2500</v>
      </c>
    </row>
    <row r="51" spans="1:11" ht="74.45" customHeight="1" x14ac:dyDescent="0.2">
      <c r="A51" s="27" t="s">
        <v>237</v>
      </c>
      <c r="B51" s="36" t="s">
        <v>88</v>
      </c>
      <c r="C51" s="6"/>
      <c r="D51" s="7"/>
      <c r="E51" s="7">
        <v>518.20000000000005</v>
      </c>
      <c r="F51" s="7">
        <v>518.20000000000005</v>
      </c>
      <c r="G51" s="6">
        <v>500.4</v>
      </c>
      <c r="H51" s="11">
        <f t="shared" si="0"/>
        <v>500.4</v>
      </c>
      <c r="I51" s="11"/>
      <c r="J51" s="11">
        <f t="shared" si="1"/>
        <v>96.565032805866451</v>
      </c>
      <c r="K51" s="11">
        <f t="shared" si="2"/>
        <v>-17.800000000000068</v>
      </c>
    </row>
    <row r="52" spans="1:11" ht="39" customHeight="1" x14ac:dyDescent="0.2">
      <c r="A52" s="27" t="s">
        <v>108</v>
      </c>
      <c r="B52" s="38" t="s">
        <v>23</v>
      </c>
      <c r="C52" s="9">
        <f>C54+C55+C57+C56</f>
        <v>7167.2</v>
      </c>
      <c r="D52" s="9">
        <f>D54+D55+D57+D56</f>
        <v>36443</v>
      </c>
      <c r="E52" s="9">
        <f>E54+E55+E57+E56</f>
        <v>36519.9</v>
      </c>
      <c r="F52" s="9">
        <f>F54+F55+F57+F56</f>
        <v>13112.8</v>
      </c>
      <c r="G52" s="9">
        <f>G54+G55+G57+G56</f>
        <v>10263.299999999999</v>
      </c>
      <c r="H52" s="11">
        <f t="shared" si="0"/>
        <v>3096.0999999999995</v>
      </c>
      <c r="I52" s="11">
        <f>((G52/C52)*100)-100</f>
        <v>43.198180600513439</v>
      </c>
      <c r="J52" s="11">
        <f t="shared" si="1"/>
        <v>28.103308059441563</v>
      </c>
      <c r="K52" s="11">
        <f t="shared" si="2"/>
        <v>-26256.600000000002</v>
      </c>
    </row>
    <row r="53" spans="1:11" x14ac:dyDescent="0.2">
      <c r="A53" s="31"/>
      <c r="B53" s="33" t="s">
        <v>24</v>
      </c>
      <c r="C53" s="6"/>
      <c r="D53" s="7"/>
      <c r="E53" s="7"/>
      <c r="F53" s="7"/>
      <c r="G53" s="6"/>
      <c r="H53" s="11">
        <f t="shared" si="0"/>
        <v>0</v>
      </c>
      <c r="I53" s="11"/>
      <c r="J53" s="11"/>
      <c r="K53" s="11"/>
    </row>
    <row r="54" spans="1:11" x14ac:dyDescent="0.2">
      <c r="A54" s="31"/>
      <c r="B54" s="8" t="s">
        <v>25</v>
      </c>
      <c r="C54" s="6">
        <v>4118.3999999999996</v>
      </c>
      <c r="D54" s="7">
        <v>18288</v>
      </c>
      <c r="E54" s="7">
        <v>18288</v>
      </c>
      <c r="F54" s="7">
        <v>6829</v>
      </c>
      <c r="G54" s="6">
        <v>4710.1000000000004</v>
      </c>
      <c r="H54" s="11">
        <f t="shared" si="0"/>
        <v>591.70000000000073</v>
      </c>
      <c r="I54" s="11">
        <f>((G54/C54)*100)-100</f>
        <v>14.367229992230008</v>
      </c>
      <c r="J54" s="11">
        <f>G54/E54*100</f>
        <v>25.75513998250219</v>
      </c>
      <c r="K54" s="11">
        <f t="shared" si="2"/>
        <v>-13577.9</v>
      </c>
    </row>
    <row r="55" spans="1:11" x14ac:dyDescent="0.2">
      <c r="A55" s="31"/>
      <c r="B55" s="8" t="s">
        <v>57</v>
      </c>
      <c r="C55" s="6">
        <f>2997.3+7.5</f>
        <v>3004.8</v>
      </c>
      <c r="D55" s="7">
        <v>18155</v>
      </c>
      <c r="E55" s="7">
        <v>18221.900000000001</v>
      </c>
      <c r="F55" s="7">
        <v>6273.8</v>
      </c>
      <c r="G55" s="6">
        <v>5553.2</v>
      </c>
      <c r="H55" s="11">
        <f t="shared" si="0"/>
        <v>2548.3999999999996</v>
      </c>
      <c r="I55" s="11">
        <f>((G55/C55)*100)-100</f>
        <v>84.810969116080912</v>
      </c>
      <c r="J55" s="11">
        <f t="shared" si="1"/>
        <v>30.475416943348382</v>
      </c>
      <c r="K55" s="11">
        <f t="shared" si="2"/>
        <v>-12668.7</v>
      </c>
    </row>
    <row r="56" spans="1:11" s="42" customFormat="1" ht="72" customHeight="1" x14ac:dyDescent="0.2">
      <c r="A56" s="40"/>
      <c r="B56" s="36" t="s">
        <v>88</v>
      </c>
      <c r="C56" s="41"/>
      <c r="D56" s="41"/>
      <c r="E56" s="41">
        <v>10</v>
      </c>
      <c r="F56" s="41">
        <v>10</v>
      </c>
      <c r="G56" s="41"/>
      <c r="H56" s="11">
        <f t="shared" si="0"/>
        <v>0</v>
      </c>
      <c r="I56" s="11" t="e">
        <f>((G56/C56)*100)-100</f>
        <v>#DIV/0!</v>
      </c>
      <c r="J56" s="11"/>
      <c r="K56" s="11">
        <f t="shared" si="2"/>
        <v>-10</v>
      </c>
    </row>
    <row r="57" spans="1:11" ht="75" x14ac:dyDescent="0.2">
      <c r="A57" s="31"/>
      <c r="B57" s="32" t="s">
        <v>61</v>
      </c>
      <c r="C57" s="7">
        <f>51.5-7.5</f>
        <v>44</v>
      </c>
      <c r="D57" s="7"/>
      <c r="E57" s="7"/>
      <c r="F57" s="7"/>
      <c r="G57" s="7"/>
      <c r="H57" s="11">
        <f t="shared" si="0"/>
        <v>-44</v>
      </c>
      <c r="I57" s="11"/>
      <c r="J57" s="11"/>
      <c r="K57" s="11">
        <f t="shared" si="2"/>
        <v>0</v>
      </c>
    </row>
    <row r="58" spans="1:11" ht="56.25" x14ac:dyDescent="0.2">
      <c r="A58" s="27" t="s">
        <v>170</v>
      </c>
      <c r="B58" s="33" t="s">
        <v>39</v>
      </c>
      <c r="C58" s="1">
        <v>2910.6</v>
      </c>
      <c r="D58" s="1">
        <v>41100</v>
      </c>
      <c r="E58" s="1">
        <v>33100</v>
      </c>
      <c r="F58" s="1">
        <v>9900</v>
      </c>
      <c r="G58" s="1">
        <v>6298.4</v>
      </c>
      <c r="H58" s="11">
        <f t="shared" si="0"/>
        <v>3387.7999999999997</v>
      </c>
      <c r="I58" s="11">
        <f>((G58/C58)*100)-100</f>
        <v>116.39524496667354</v>
      </c>
      <c r="J58" s="11">
        <f t="shared" si="1"/>
        <v>19.028398791540784</v>
      </c>
      <c r="K58" s="11">
        <f t="shared" si="2"/>
        <v>-26801.599999999999</v>
      </c>
    </row>
    <row r="59" spans="1:11" ht="93.75" x14ac:dyDescent="0.2">
      <c r="A59" s="27" t="s">
        <v>171</v>
      </c>
      <c r="B59" s="8" t="s">
        <v>213</v>
      </c>
      <c r="C59" s="6">
        <v>58.6</v>
      </c>
      <c r="D59" s="7">
        <v>500</v>
      </c>
      <c r="E59" s="7">
        <v>500</v>
      </c>
      <c r="F59" s="7">
        <v>125</v>
      </c>
      <c r="G59" s="6">
        <v>33.9</v>
      </c>
      <c r="H59" s="11">
        <f t="shared" si="0"/>
        <v>-24.700000000000003</v>
      </c>
      <c r="I59" s="11"/>
      <c r="J59" s="11">
        <f t="shared" si="1"/>
        <v>6.78</v>
      </c>
      <c r="K59" s="11">
        <f t="shared" si="2"/>
        <v>-466.1</v>
      </c>
    </row>
    <row r="60" spans="1:11" ht="38.25" customHeight="1" x14ac:dyDescent="0.2">
      <c r="A60" s="27" t="s">
        <v>172</v>
      </c>
      <c r="B60" s="43" t="s">
        <v>173</v>
      </c>
      <c r="C60" s="9">
        <f>C62+C63+C64+C65+C66+C67+C68+C69+C70+C71+C72+C73+C74+C75+C76+C77</f>
        <v>4025.9</v>
      </c>
      <c r="D60" s="9">
        <f>D62+D63+D64+D65+D66+D67+D68+D69+D70+D71+D72+D73+D74+D75+D76+D77</f>
        <v>33822.400000000001</v>
      </c>
      <c r="E60" s="9">
        <f>E62+E63+E64+E65+E66+E67+E68+E69+E70+E71+E72+E73+E74+E75+E76+E77</f>
        <v>41822.400000000001</v>
      </c>
      <c r="F60" s="9">
        <f>F62+F63+F64+F65+F66+F67+F68+F69+F70+F71+F72+F73+F74+F75+F76+F77</f>
        <v>22562.400000000001</v>
      </c>
      <c r="G60" s="9">
        <f>G62+G63+G64+G65+G66+G67+G68+G69+G70+G71+G72+G73+G74+G75+G76+G77</f>
        <v>11257.099999999999</v>
      </c>
      <c r="H60" s="11">
        <f t="shared" si="0"/>
        <v>7231.1999999999989</v>
      </c>
      <c r="I60" s="11">
        <f>((G60/C60)*100)-100</f>
        <v>179.61698005414934</v>
      </c>
      <c r="J60" s="11">
        <f t="shared" si="1"/>
        <v>26.916437124603078</v>
      </c>
      <c r="K60" s="11">
        <f t="shared" si="2"/>
        <v>-30565.300000000003</v>
      </c>
    </row>
    <row r="61" spans="1:11" x14ac:dyDescent="0.2">
      <c r="A61" s="31"/>
      <c r="B61" s="33" t="s">
        <v>24</v>
      </c>
      <c r="C61" s="6"/>
      <c r="D61" s="7"/>
      <c r="E61" s="7"/>
      <c r="F61" s="7"/>
      <c r="G61" s="6"/>
      <c r="H61" s="11">
        <f t="shared" si="0"/>
        <v>0</v>
      </c>
      <c r="I61" s="11"/>
      <c r="J61" s="11"/>
      <c r="K61" s="11">
        <f t="shared" si="2"/>
        <v>0</v>
      </c>
    </row>
    <row r="62" spans="1:11" ht="44.25" customHeight="1" x14ac:dyDescent="0.2">
      <c r="A62" s="27" t="s">
        <v>174</v>
      </c>
      <c r="B62" s="8" t="s">
        <v>175</v>
      </c>
      <c r="C62" s="6">
        <v>25.7</v>
      </c>
      <c r="D62" s="7">
        <v>358</v>
      </c>
      <c r="E62" s="7">
        <v>358</v>
      </c>
      <c r="F62" s="7">
        <v>198</v>
      </c>
      <c r="G62" s="6">
        <v>12.7</v>
      </c>
      <c r="H62" s="11">
        <f>G62-C62</f>
        <v>-13</v>
      </c>
      <c r="I62" s="11"/>
      <c r="J62" s="11">
        <f t="shared" ref="J62:J73" si="3">G62/E62*100</f>
        <v>3.5474860335195526</v>
      </c>
      <c r="K62" s="11">
        <f>G62-E62</f>
        <v>-345.3</v>
      </c>
    </row>
    <row r="63" spans="1:11" ht="55.15" customHeight="1" x14ac:dyDescent="0.2">
      <c r="A63" s="27" t="s">
        <v>176</v>
      </c>
      <c r="B63" s="8" t="s">
        <v>177</v>
      </c>
      <c r="C63" s="6">
        <v>196.2</v>
      </c>
      <c r="D63" s="7">
        <v>3750</v>
      </c>
      <c r="E63" s="7">
        <v>3750</v>
      </c>
      <c r="F63" s="7">
        <v>1788.9</v>
      </c>
      <c r="G63" s="6">
        <v>370.1</v>
      </c>
      <c r="H63" s="11">
        <f>G63-C63</f>
        <v>173.90000000000003</v>
      </c>
      <c r="I63" s="11"/>
      <c r="J63" s="11">
        <f t="shared" si="3"/>
        <v>9.8693333333333335</v>
      </c>
      <c r="K63" s="11">
        <f>G63-E63</f>
        <v>-3379.9</v>
      </c>
    </row>
    <row r="64" spans="1:11" ht="44.25" customHeight="1" x14ac:dyDescent="0.2">
      <c r="A64" s="27" t="s">
        <v>178</v>
      </c>
      <c r="B64" s="8" t="s">
        <v>26</v>
      </c>
      <c r="C64" s="6">
        <v>197.6</v>
      </c>
      <c r="D64" s="7">
        <v>1000</v>
      </c>
      <c r="E64" s="7">
        <v>1000</v>
      </c>
      <c r="F64" s="7">
        <v>460</v>
      </c>
      <c r="G64" s="6">
        <v>122.5</v>
      </c>
      <c r="H64" s="11">
        <f>G64-C64</f>
        <v>-75.099999999999994</v>
      </c>
      <c r="I64" s="11"/>
      <c r="J64" s="11">
        <f t="shared" si="3"/>
        <v>12.25</v>
      </c>
      <c r="K64" s="11">
        <f>G64-E64</f>
        <v>-877.5</v>
      </c>
    </row>
    <row r="65" spans="1:11" ht="57.6" customHeight="1" x14ac:dyDescent="0.2">
      <c r="A65" s="27" t="s">
        <v>254</v>
      </c>
      <c r="B65" s="8" t="s">
        <v>255</v>
      </c>
      <c r="C65" s="6"/>
      <c r="D65" s="7"/>
      <c r="E65" s="7">
        <v>8000</v>
      </c>
      <c r="F65" s="7">
        <v>8000</v>
      </c>
      <c r="G65" s="6"/>
      <c r="H65" s="11">
        <f t="shared" ref="H65:H77" si="4">G65-C65</f>
        <v>0</v>
      </c>
      <c r="I65" s="11"/>
      <c r="J65" s="11">
        <f t="shared" si="3"/>
        <v>0</v>
      </c>
      <c r="K65" s="11">
        <f>G65-E65</f>
        <v>-8000</v>
      </c>
    </row>
    <row r="66" spans="1:11" ht="64.900000000000006" customHeight="1" x14ac:dyDescent="0.2">
      <c r="A66" s="27" t="s">
        <v>181</v>
      </c>
      <c r="B66" s="8" t="s">
        <v>182</v>
      </c>
      <c r="C66" s="6">
        <v>3478.6</v>
      </c>
      <c r="D66" s="7">
        <v>24000</v>
      </c>
      <c r="E66" s="7">
        <v>24000</v>
      </c>
      <c r="F66" s="7">
        <v>10000</v>
      </c>
      <c r="G66" s="7">
        <v>10000</v>
      </c>
      <c r="H66" s="11">
        <f t="shared" si="4"/>
        <v>6521.4</v>
      </c>
      <c r="I66" s="11"/>
      <c r="J66" s="11">
        <f t="shared" si="3"/>
        <v>41.666666666666671</v>
      </c>
      <c r="K66" s="11">
        <f t="shared" ref="K66:K77" si="5">G66-E66</f>
        <v>-14000</v>
      </c>
    </row>
    <row r="67" spans="1:11" ht="55.15" customHeight="1" x14ac:dyDescent="0.2">
      <c r="A67" s="27" t="s">
        <v>179</v>
      </c>
      <c r="B67" s="8" t="s">
        <v>180</v>
      </c>
      <c r="C67" s="6"/>
      <c r="D67" s="7">
        <v>550</v>
      </c>
      <c r="E67" s="7">
        <v>550</v>
      </c>
      <c r="F67" s="7">
        <v>150</v>
      </c>
      <c r="G67" s="6">
        <v>98.9</v>
      </c>
      <c r="H67" s="11"/>
      <c r="I67" s="11"/>
      <c r="J67" s="11">
        <f t="shared" si="3"/>
        <v>17.981818181818181</v>
      </c>
      <c r="K67" s="11">
        <f t="shared" si="5"/>
        <v>-451.1</v>
      </c>
    </row>
    <row r="68" spans="1:11" ht="55.15" customHeight="1" x14ac:dyDescent="0.2">
      <c r="A68" s="27" t="s">
        <v>183</v>
      </c>
      <c r="B68" s="8" t="s">
        <v>184</v>
      </c>
      <c r="C68" s="6"/>
      <c r="D68" s="7">
        <v>550</v>
      </c>
      <c r="E68" s="7">
        <v>550</v>
      </c>
      <c r="F68" s="7">
        <v>212</v>
      </c>
      <c r="G68" s="6">
        <v>41.7</v>
      </c>
      <c r="H68" s="11">
        <f t="shared" si="4"/>
        <v>41.7</v>
      </c>
      <c r="I68" s="11"/>
      <c r="J68" s="11">
        <f t="shared" si="3"/>
        <v>7.5818181818181829</v>
      </c>
      <c r="K68" s="11">
        <f t="shared" si="5"/>
        <v>-508.3</v>
      </c>
    </row>
    <row r="69" spans="1:11" ht="55.15" customHeight="1" x14ac:dyDescent="0.2">
      <c r="A69" s="27" t="s">
        <v>185</v>
      </c>
      <c r="B69" s="8" t="s">
        <v>186</v>
      </c>
      <c r="C69" s="6"/>
      <c r="D69" s="7">
        <v>200</v>
      </c>
      <c r="E69" s="7">
        <v>200</v>
      </c>
      <c r="F69" s="7">
        <v>167.5</v>
      </c>
      <c r="G69" s="6">
        <v>30.9</v>
      </c>
      <c r="H69" s="11">
        <f t="shared" si="4"/>
        <v>30.9</v>
      </c>
      <c r="I69" s="11"/>
      <c r="J69" s="11">
        <f t="shared" si="3"/>
        <v>15.45</v>
      </c>
      <c r="K69" s="11">
        <f t="shared" si="5"/>
        <v>-169.1</v>
      </c>
    </row>
    <row r="70" spans="1:11" ht="55.15" customHeight="1" x14ac:dyDescent="0.2">
      <c r="A70" s="27" t="s">
        <v>187</v>
      </c>
      <c r="B70" s="8" t="s">
        <v>188</v>
      </c>
      <c r="C70" s="6"/>
      <c r="D70" s="7">
        <v>300</v>
      </c>
      <c r="E70" s="7">
        <v>300</v>
      </c>
      <c r="F70" s="7">
        <v>75</v>
      </c>
      <c r="G70" s="6"/>
      <c r="H70" s="11">
        <f t="shared" si="4"/>
        <v>0</v>
      </c>
      <c r="I70" s="11"/>
      <c r="J70" s="11">
        <f t="shared" si="3"/>
        <v>0</v>
      </c>
      <c r="K70" s="11">
        <f t="shared" si="5"/>
        <v>-300</v>
      </c>
    </row>
    <row r="71" spans="1:11" ht="129.6" customHeight="1" x14ac:dyDescent="0.2">
      <c r="A71" s="27" t="s">
        <v>189</v>
      </c>
      <c r="B71" s="8" t="s">
        <v>258</v>
      </c>
      <c r="C71" s="6"/>
      <c r="D71" s="7">
        <v>1000</v>
      </c>
      <c r="E71" s="7">
        <v>1000</v>
      </c>
      <c r="F71" s="7">
        <v>573</v>
      </c>
      <c r="G71" s="6">
        <v>88.3</v>
      </c>
      <c r="H71" s="11">
        <f t="shared" si="4"/>
        <v>88.3</v>
      </c>
      <c r="I71" s="11"/>
      <c r="J71" s="11">
        <f t="shared" si="3"/>
        <v>8.83</v>
      </c>
      <c r="K71" s="11">
        <f t="shared" si="5"/>
        <v>-911.7</v>
      </c>
    </row>
    <row r="72" spans="1:11" ht="132" customHeight="1" x14ac:dyDescent="0.2">
      <c r="A72" s="27" t="s">
        <v>189</v>
      </c>
      <c r="B72" s="8" t="s">
        <v>259</v>
      </c>
      <c r="C72" s="6"/>
      <c r="D72" s="7">
        <v>204.4</v>
      </c>
      <c r="E72" s="7">
        <v>204.4</v>
      </c>
      <c r="F72" s="7">
        <v>140</v>
      </c>
      <c r="G72" s="6"/>
      <c r="H72" s="11">
        <f t="shared" si="4"/>
        <v>0</v>
      </c>
      <c r="I72" s="11"/>
      <c r="J72" s="11">
        <f t="shared" si="3"/>
        <v>0</v>
      </c>
      <c r="K72" s="11">
        <f t="shared" si="5"/>
        <v>-204.4</v>
      </c>
    </row>
    <row r="73" spans="1:11" ht="55.15" customHeight="1" x14ac:dyDescent="0.2">
      <c r="A73" s="27" t="s">
        <v>189</v>
      </c>
      <c r="B73" s="8" t="s">
        <v>257</v>
      </c>
      <c r="C73" s="6"/>
      <c r="D73" s="7">
        <v>50</v>
      </c>
      <c r="E73" s="7">
        <v>50</v>
      </c>
      <c r="F73" s="7">
        <v>26</v>
      </c>
      <c r="G73" s="6"/>
      <c r="H73" s="11">
        <f t="shared" si="4"/>
        <v>0</v>
      </c>
      <c r="I73" s="11"/>
      <c r="J73" s="11">
        <f t="shared" si="3"/>
        <v>0</v>
      </c>
      <c r="K73" s="11">
        <f t="shared" si="5"/>
        <v>-50</v>
      </c>
    </row>
    <row r="74" spans="1:11" ht="64.150000000000006" customHeight="1" x14ac:dyDescent="0.2">
      <c r="A74" s="29" t="s">
        <v>189</v>
      </c>
      <c r="B74" s="44" t="s">
        <v>214</v>
      </c>
      <c r="C74" s="6">
        <v>6.6</v>
      </c>
      <c r="D74" s="7">
        <v>480</v>
      </c>
      <c r="E74" s="7">
        <v>480</v>
      </c>
      <c r="F74" s="7">
        <v>252</v>
      </c>
      <c r="G74" s="6">
        <v>100</v>
      </c>
      <c r="H74" s="11">
        <f t="shared" si="4"/>
        <v>93.4</v>
      </c>
      <c r="I74" s="11"/>
      <c r="J74" s="11">
        <f>G74/E74*100</f>
        <v>20.833333333333336</v>
      </c>
      <c r="K74" s="11">
        <f t="shared" si="5"/>
        <v>-380</v>
      </c>
    </row>
    <row r="75" spans="1:11" ht="77.25" customHeight="1" x14ac:dyDescent="0.2">
      <c r="A75" s="29" t="s">
        <v>189</v>
      </c>
      <c r="B75" s="45" t="s">
        <v>256</v>
      </c>
      <c r="C75" s="6">
        <v>72.400000000000006</v>
      </c>
      <c r="D75" s="7">
        <v>700</v>
      </c>
      <c r="E75" s="7">
        <v>700</v>
      </c>
      <c r="F75" s="7">
        <v>235</v>
      </c>
      <c r="G75" s="6">
        <v>227.4</v>
      </c>
      <c r="H75" s="11">
        <f t="shared" si="4"/>
        <v>155</v>
      </c>
      <c r="I75" s="11"/>
      <c r="J75" s="11">
        <f>G75/E75*100</f>
        <v>32.485714285714288</v>
      </c>
      <c r="K75" s="11">
        <f t="shared" si="5"/>
        <v>-472.6</v>
      </c>
    </row>
    <row r="76" spans="1:11" ht="51" customHeight="1" x14ac:dyDescent="0.2">
      <c r="A76" s="29" t="s">
        <v>189</v>
      </c>
      <c r="B76" s="46" t="s">
        <v>215</v>
      </c>
      <c r="C76" s="6">
        <v>48.8</v>
      </c>
      <c r="D76" s="7">
        <v>580</v>
      </c>
      <c r="E76" s="7">
        <v>580</v>
      </c>
      <c r="F76" s="7">
        <v>230</v>
      </c>
      <c r="G76" s="6">
        <v>146.5</v>
      </c>
      <c r="H76" s="11">
        <f t="shared" si="4"/>
        <v>97.7</v>
      </c>
      <c r="I76" s="11">
        <f>((G76/C76)*100)-100</f>
        <v>200.20491803278691</v>
      </c>
      <c r="J76" s="11"/>
      <c r="K76" s="11">
        <f t="shared" si="5"/>
        <v>-433.5</v>
      </c>
    </row>
    <row r="77" spans="1:11" ht="101.25" customHeight="1" x14ac:dyDescent="0.2">
      <c r="A77" s="29" t="s">
        <v>189</v>
      </c>
      <c r="B77" s="47" t="s">
        <v>121</v>
      </c>
      <c r="C77" s="7"/>
      <c r="D77" s="7">
        <v>100</v>
      </c>
      <c r="E77" s="7">
        <v>100</v>
      </c>
      <c r="F77" s="7">
        <v>55</v>
      </c>
      <c r="G77" s="7">
        <v>18.100000000000001</v>
      </c>
      <c r="H77" s="11">
        <f t="shared" si="4"/>
        <v>18.100000000000001</v>
      </c>
      <c r="I77" s="11"/>
      <c r="J77" s="11">
        <f>G77/E77*100</f>
        <v>18.100000000000001</v>
      </c>
      <c r="K77" s="11">
        <f t="shared" si="5"/>
        <v>-81.900000000000006</v>
      </c>
    </row>
    <row r="78" spans="1:11" ht="40.5" customHeight="1" x14ac:dyDescent="0.2">
      <c r="A78" s="27" t="s">
        <v>119</v>
      </c>
      <c r="B78" s="48" t="s">
        <v>27</v>
      </c>
      <c r="C78" s="9">
        <v>13.9</v>
      </c>
      <c r="D78" s="9">
        <v>53500</v>
      </c>
      <c r="E78" s="9">
        <v>53500</v>
      </c>
      <c r="F78" s="9">
        <v>13110</v>
      </c>
      <c r="G78" s="9">
        <v>13096.9</v>
      </c>
      <c r="H78" s="1">
        <f t="shared" si="0"/>
        <v>13083</v>
      </c>
      <c r="I78" s="1">
        <f>((G78/C78)*100)-100</f>
        <v>94122.302158273378</v>
      </c>
      <c r="J78" s="1">
        <f t="shared" si="1"/>
        <v>24.480186915887849</v>
      </c>
      <c r="K78" s="1">
        <f t="shared" si="2"/>
        <v>-40403.1</v>
      </c>
    </row>
    <row r="79" spans="1:11" ht="24" customHeight="1" x14ac:dyDescent="0.2">
      <c r="A79" s="39" t="s">
        <v>190</v>
      </c>
      <c r="B79" s="48" t="s">
        <v>28</v>
      </c>
      <c r="C79" s="49"/>
      <c r="D79" s="9">
        <v>1000</v>
      </c>
      <c r="E79" s="9">
        <v>828</v>
      </c>
      <c r="F79" s="9">
        <v>78</v>
      </c>
      <c r="G79" s="49"/>
      <c r="H79" s="1">
        <f t="shared" si="0"/>
        <v>0</v>
      </c>
      <c r="I79" s="1"/>
      <c r="J79" s="1">
        <f t="shared" si="1"/>
        <v>0</v>
      </c>
      <c r="K79" s="1">
        <f t="shared" si="2"/>
        <v>-828</v>
      </c>
    </row>
    <row r="80" spans="1:11" ht="60.6" customHeight="1" x14ac:dyDescent="0.2">
      <c r="A80" s="50" t="s">
        <v>191</v>
      </c>
      <c r="B80" s="51" t="s">
        <v>192</v>
      </c>
      <c r="C80" s="52">
        <f>C82+C83+C84</f>
        <v>32.200000000000003</v>
      </c>
      <c r="D80" s="52">
        <f>D82+D83+D84</f>
        <v>300</v>
      </c>
      <c r="E80" s="52">
        <f>E82+E83+E84</f>
        <v>398</v>
      </c>
      <c r="F80" s="52">
        <f>F82+F83+F84</f>
        <v>248</v>
      </c>
      <c r="G80" s="52">
        <f>G82+G83+G84</f>
        <v>97.8</v>
      </c>
      <c r="H80" s="11">
        <f t="shared" si="0"/>
        <v>65.599999999999994</v>
      </c>
      <c r="I80" s="11">
        <f>((G80/C80)*100)-100</f>
        <v>203.72670807453414</v>
      </c>
      <c r="J80" s="11">
        <f t="shared" si="1"/>
        <v>24.572864321608041</v>
      </c>
      <c r="K80" s="11">
        <f t="shared" si="2"/>
        <v>-300.2</v>
      </c>
    </row>
    <row r="81" spans="1:14" ht="25.15" customHeight="1" x14ac:dyDescent="0.2">
      <c r="A81" s="39"/>
      <c r="B81" s="53" t="s">
        <v>216</v>
      </c>
      <c r="C81" s="49"/>
      <c r="D81" s="9"/>
      <c r="E81" s="9"/>
      <c r="F81" s="9"/>
      <c r="G81" s="49"/>
      <c r="H81" s="11">
        <f t="shared" si="0"/>
        <v>0</v>
      </c>
      <c r="I81" s="11"/>
      <c r="J81" s="11"/>
      <c r="K81" s="11">
        <f t="shared" si="2"/>
        <v>0</v>
      </c>
    </row>
    <row r="82" spans="1:14" ht="113.45" customHeight="1" x14ac:dyDescent="0.2">
      <c r="A82" s="29"/>
      <c r="B82" s="8" t="s">
        <v>93</v>
      </c>
      <c r="C82" s="6"/>
      <c r="D82" s="7">
        <v>250</v>
      </c>
      <c r="E82" s="7">
        <v>250</v>
      </c>
      <c r="F82" s="7">
        <v>120</v>
      </c>
      <c r="G82" s="6"/>
      <c r="H82" s="11">
        <f t="shared" si="0"/>
        <v>0</v>
      </c>
      <c r="I82" s="11"/>
      <c r="J82" s="11">
        <f t="shared" si="1"/>
        <v>0</v>
      </c>
      <c r="K82" s="11">
        <f t="shared" si="2"/>
        <v>-250</v>
      </c>
    </row>
    <row r="83" spans="1:14" ht="142.5" customHeight="1" x14ac:dyDescent="0.2">
      <c r="A83" s="29"/>
      <c r="B83" s="8" t="s">
        <v>94</v>
      </c>
      <c r="C83" s="6"/>
      <c r="D83" s="7">
        <v>50</v>
      </c>
      <c r="E83" s="7">
        <v>50</v>
      </c>
      <c r="F83" s="7">
        <v>30</v>
      </c>
      <c r="G83" s="6"/>
      <c r="H83" s="11">
        <f t="shared" si="0"/>
        <v>0</v>
      </c>
      <c r="I83" s="11"/>
      <c r="J83" s="11">
        <f t="shared" si="1"/>
        <v>0</v>
      </c>
      <c r="K83" s="11">
        <f t="shared" si="2"/>
        <v>-50</v>
      </c>
    </row>
    <row r="84" spans="1:14" ht="29.25" customHeight="1" x14ac:dyDescent="0.2">
      <c r="A84" s="29"/>
      <c r="B84" s="8" t="s">
        <v>217</v>
      </c>
      <c r="C84" s="7">
        <v>32.200000000000003</v>
      </c>
      <c r="D84" s="7"/>
      <c r="E84" s="7">
        <v>98</v>
      </c>
      <c r="F84" s="7">
        <v>98</v>
      </c>
      <c r="G84" s="7">
        <v>97.8</v>
      </c>
      <c r="H84" s="11">
        <f t="shared" si="0"/>
        <v>65.599999999999994</v>
      </c>
      <c r="I84" s="11">
        <f>((G84/C84)*100)-100</f>
        <v>203.72670807453414</v>
      </c>
      <c r="J84" s="11">
        <f>G84/E84*100</f>
        <v>99.795918367346943</v>
      </c>
      <c r="K84" s="11">
        <f t="shared" si="2"/>
        <v>-0.20000000000000284</v>
      </c>
    </row>
    <row r="85" spans="1:14" ht="120.6" customHeight="1" x14ac:dyDescent="0.2">
      <c r="A85" s="54" t="s">
        <v>193</v>
      </c>
      <c r="B85" s="55" t="s">
        <v>260</v>
      </c>
      <c r="C85" s="56">
        <v>82.4</v>
      </c>
      <c r="D85" s="56">
        <v>800</v>
      </c>
      <c r="E85" s="56">
        <v>800</v>
      </c>
      <c r="F85" s="56">
        <v>271</v>
      </c>
      <c r="G85" s="56">
        <v>61.1</v>
      </c>
      <c r="H85" s="57">
        <f t="shared" si="0"/>
        <v>-21.300000000000004</v>
      </c>
      <c r="I85" s="57"/>
      <c r="J85" s="57">
        <f t="shared" si="1"/>
        <v>7.6375000000000002</v>
      </c>
      <c r="K85" s="57">
        <f t="shared" si="2"/>
        <v>-738.9</v>
      </c>
    </row>
    <row r="86" spans="1:14" ht="18" customHeight="1" x14ac:dyDescent="0.2">
      <c r="A86" s="54" t="s">
        <v>261</v>
      </c>
      <c r="B86" s="58" t="s">
        <v>262</v>
      </c>
      <c r="C86" s="59"/>
      <c r="D86" s="59"/>
      <c r="E86" s="6">
        <v>81.5</v>
      </c>
      <c r="F86" s="6">
        <v>81.5</v>
      </c>
      <c r="G86" s="6"/>
      <c r="H86" s="57">
        <f t="shared" si="0"/>
        <v>0</v>
      </c>
      <c r="I86" s="57"/>
      <c r="J86" s="57">
        <f t="shared" si="1"/>
        <v>0</v>
      </c>
      <c r="K86" s="57">
        <f t="shared" si="2"/>
        <v>-81.5</v>
      </c>
    </row>
    <row r="87" spans="1:14" ht="56.25" customHeight="1" x14ac:dyDescent="0.2">
      <c r="A87" s="60" t="s">
        <v>194</v>
      </c>
      <c r="B87" s="61" t="s">
        <v>195</v>
      </c>
      <c r="C87" s="49">
        <f>C88+C89</f>
        <v>610</v>
      </c>
      <c r="D87" s="49">
        <f>D88+D89</f>
        <v>3000</v>
      </c>
      <c r="E87" s="49">
        <f>E88+E89</f>
        <v>3049</v>
      </c>
      <c r="F87" s="49">
        <f>F88+F89</f>
        <v>829</v>
      </c>
      <c r="G87" s="49">
        <f>G88+G89</f>
        <v>821.1</v>
      </c>
      <c r="H87" s="11">
        <f t="shared" si="0"/>
        <v>211.10000000000002</v>
      </c>
      <c r="I87" s="11"/>
      <c r="J87" s="11">
        <f t="shared" si="1"/>
        <v>26.930141029845849</v>
      </c>
      <c r="K87" s="11">
        <f t="shared" si="2"/>
        <v>-2227.9</v>
      </c>
    </row>
    <row r="88" spans="1:14" ht="56.25" customHeight="1" x14ac:dyDescent="0.2">
      <c r="A88" s="60"/>
      <c r="B88" s="62" t="s">
        <v>195</v>
      </c>
      <c r="C88" s="17">
        <v>610</v>
      </c>
      <c r="D88" s="11">
        <v>3000</v>
      </c>
      <c r="E88" s="11">
        <v>3000</v>
      </c>
      <c r="F88" s="11">
        <v>780</v>
      </c>
      <c r="G88" s="17">
        <v>772.2</v>
      </c>
      <c r="H88" s="11">
        <f t="shared" si="0"/>
        <v>162.20000000000005</v>
      </c>
      <c r="I88" s="11"/>
      <c r="J88" s="11">
        <f t="shared" si="1"/>
        <v>25.740000000000002</v>
      </c>
      <c r="K88" s="11">
        <f t="shared" si="2"/>
        <v>-2227.8000000000002</v>
      </c>
    </row>
    <row r="89" spans="1:14" ht="56.25" customHeight="1" x14ac:dyDescent="0.2">
      <c r="A89" s="60"/>
      <c r="B89" s="8" t="s">
        <v>217</v>
      </c>
      <c r="C89" s="17"/>
      <c r="D89" s="11"/>
      <c r="E89" s="11">
        <v>49</v>
      </c>
      <c r="F89" s="11">
        <v>49</v>
      </c>
      <c r="G89" s="11">
        <v>48.9</v>
      </c>
      <c r="H89" s="11">
        <f t="shared" si="0"/>
        <v>48.9</v>
      </c>
      <c r="I89" s="11"/>
      <c r="J89" s="11">
        <f t="shared" si="1"/>
        <v>99.795918367346943</v>
      </c>
      <c r="K89" s="11">
        <f t="shared" si="2"/>
        <v>-0.10000000000000142</v>
      </c>
    </row>
    <row r="90" spans="1:14" ht="79.5" customHeight="1" x14ac:dyDescent="0.2">
      <c r="A90" s="60" t="s">
        <v>196</v>
      </c>
      <c r="B90" s="38" t="s">
        <v>197</v>
      </c>
      <c r="C90" s="9">
        <f>C92+C93</f>
        <v>1848.4</v>
      </c>
      <c r="D90" s="9">
        <f>D92+D93</f>
        <v>8700</v>
      </c>
      <c r="E90" s="9">
        <f>E92+E93</f>
        <v>8700</v>
      </c>
      <c r="F90" s="9">
        <f>F92+F93</f>
        <v>3639.5</v>
      </c>
      <c r="G90" s="9">
        <f>G92+G93</f>
        <v>3623.5</v>
      </c>
      <c r="H90" s="11">
        <f t="shared" si="0"/>
        <v>1775.1</v>
      </c>
      <c r="I90" s="11">
        <f>((G90/C90)*100)-100</f>
        <v>96.034408136766899</v>
      </c>
      <c r="J90" s="11">
        <f t="shared" si="1"/>
        <v>41.649425287356323</v>
      </c>
      <c r="K90" s="11">
        <f t="shared" si="2"/>
        <v>-5076.5</v>
      </c>
      <c r="L90" s="3"/>
      <c r="M90" s="3"/>
      <c r="N90" s="3"/>
    </row>
    <row r="91" spans="1:14" ht="18" customHeight="1" x14ac:dyDescent="0.2">
      <c r="A91" s="63"/>
      <c r="B91" s="38" t="s">
        <v>24</v>
      </c>
      <c r="C91" s="49"/>
      <c r="D91" s="9"/>
      <c r="E91" s="9"/>
      <c r="F91" s="9"/>
      <c r="G91" s="49"/>
      <c r="H91" s="11"/>
      <c r="I91" s="11"/>
      <c r="J91" s="11"/>
      <c r="K91" s="11"/>
    </row>
    <row r="92" spans="1:14" ht="39.75" customHeight="1" x14ac:dyDescent="0.2">
      <c r="A92" s="63"/>
      <c r="B92" s="8" t="s">
        <v>218</v>
      </c>
      <c r="C92" s="7">
        <v>60.2</v>
      </c>
      <c r="D92" s="7">
        <v>200</v>
      </c>
      <c r="E92" s="7">
        <v>200</v>
      </c>
      <c r="F92" s="7">
        <v>69.5</v>
      </c>
      <c r="G92" s="7">
        <v>69.5</v>
      </c>
      <c r="H92" s="11">
        <f>G92-C92</f>
        <v>9.2999999999999972</v>
      </c>
      <c r="I92" s="11">
        <f>((G92/C92)*100)-100</f>
        <v>15.448504983388702</v>
      </c>
      <c r="J92" s="11">
        <f>G92/E92*100</f>
        <v>34.75</v>
      </c>
      <c r="K92" s="11">
        <f>G92-E92</f>
        <v>-130.5</v>
      </c>
    </row>
    <row r="93" spans="1:14" ht="57" customHeight="1" x14ac:dyDescent="0.2">
      <c r="A93" s="63"/>
      <c r="B93" s="46" t="s">
        <v>219</v>
      </c>
      <c r="C93" s="6">
        <v>1788.2</v>
      </c>
      <c r="D93" s="7">
        <v>8500</v>
      </c>
      <c r="E93" s="7">
        <v>8500</v>
      </c>
      <c r="F93" s="7">
        <v>3570</v>
      </c>
      <c r="G93" s="6">
        <v>3554</v>
      </c>
      <c r="H93" s="11">
        <f>G93-C93</f>
        <v>1765.8</v>
      </c>
      <c r="I93" s="11">
        <f>((G93/C93)*100)-100</f>
        <v>98.747343697572973</v>
      </c>
      <c r="J93" s="11">
        <f>G93/E93*100</f>
        <v>41.811764705882354</v>
      </c>
      <c r="K93" s="11">
        <f>G93-E93</f>
        <v>-4946</v>
      </c>
    </row>
    <row r="94" spans="1:14" ht="24" customHeight="1" x14ac:dyDescent="0.2">
      <c r="A94" s="64" t="s">
        <v>198</v>
      </c>
      <c r="B94" s="65" t="s">
        <v>79</v>
      </c>
      <c r="C94" s="9">
        <v>12969.9</v>
      </c>
      <c r="D94" s="9">
        <v>72666.2</v>
      </c>
      <c r="E94" s="9">
        <v>72666.2</v>
      </c>
      <c r="F94" s="9">
        <v>18166.5</v>
      </c>
      <c r="G94" s="9">
        <v>18166.5</v>
      </c>
      <c r="H94" s="11">
        <f>G94-C94</f>
        <v>5196.6000000000004</v>
      </c>
      <c r="I94" s="11">
        <f>((G94/C94)*100)-100</f>
        <v>40.066615779612789</v>
      </c>
      <c r="J94" s="11">
        <f>G94/E94*100</f>
        <v>24.999931192218668</v>
      </c>
      <c r="K94" s="11">
        <f>G94-E94</f>
        <v>-54499.7</v>
      </c>
    </row>
    <row r="95" spans="1:14" ht="30" customHeight="1" x14ac:dyDescent="0.2">
      <c r="A95" s="39" t="s">
        <v>158</v>
      </c>
      <c r="B95" s="65" t="s">
        <v>29</v>
      </c>
      <c r="C95" s="49">
        <v>1221.7</v>
      </c>
      <c r="D95" s="9">
        <v>3656.3</v>
      </c>
      <c r="E95" s="9">
        <v>3856.3</v>
      </c>
      <c r="F95" s="9">
        <v>1868.1</v>
      </c>
      <c r="G95" s="49">
        <v>1279.7</v>
      </c>
      <c r="H95" s="11">
        <f>G95-C95</f>
        <v>58</v>
      </c>
      <c r="I95" s="11">
        <f>((G95/C95)*100)-100</f>
        <v>4.7474830154702516</v>
      </c>
      <c r="J95" s="11">
        <f>G95/E95*100</f>
        <v>33.184658869901199</v>
      </c>
      <c r="K95" s="11">
        <f>G95-E95</f>
        <v>-2576.6000000000004</v>
      </c>
    </row>
    <row r="96" spans="1:14" ht="38.450000000000003" customHeight="1" x14ac:dyDescent="0.2">
      <c r="A96" s="39" t="s">
        <v>101</v>
      </c>
      <c r="B96" s="48" t="s">
        <v>200</v>
      </c>
      <c r="C96" s="9">
        <f>SUM(C98:C136)</f>
        <v>2476.5000000000005</v>
      </c>
      <c r="D96" s="9">
        <f>SUM(D98:D136)</f>
        <v>26514.7</v>
      </c>
      <c r="E96" s="9">
        <f>SUM(E98:E136)</f>
        <v>27455.100000000002</v>
      </c>
      <c r="F96" s="9">
        <f>SUM(F98:F136)</f>
        <v>8724.1</v>
      </c>
      <c r="G96" s="9">
        <f>SUM(G98:G136)</f>
        <v>2852.6000000000004</v>
      </c>
      <c r="H96" s="11">
        <f t="shared" si="0"/>
        <v>376.09999999999991</v>
      </c>
      <c r="I96" s="11">
        <f>((G96/C96)*100)-100</f>
        <v>15.186755501716135</v>
      </c>
      <c r="J96" s="11">
        <f t="shared" si="1"/>
        <v>10.390055035312201</v>
      </c>
      <c r="K96" s="11">
        <f t="shared" si="2"/>
        <v>-24602.5</v>
      </c>
    </row>
    <row r="97" spans="1:14" ht="22.5" customHeight="1" x14ac:dyDescent="0.2">
      <c r="A97" s="31"/>
      <c r="B97" s="8" t="s">
        <v>3</v>
      </c>
      <c r="C97" s="7"/>
      <c r="D97" s="7"/>
      <c r="E97" s="7"/>
      <c r="F97" s="7"/>
      <c r="G97" s="7"/>
      <c r="H97" s="11"/>
      <c r="I97" s="11"/>
      <c r="J97" s="11"/>
      <c r="K97" s="11"/>
      <c r="M97" s="3"/>
      <c r="N97" s="3"/>
    </row>
    <row r="98" spans="1:14" ht="44.25" customHeight="1" x14ac:dyDescent="0.2">
      <c r="A98" s="29"/>
      <c r="B98" s="8" t="s">
        <v>122</v>
      </c>
      <c r="C98" s="6"/>
      <c r="D98" s="7">
        <v>2940</v>
      </c>
      <c r="E98" s="7">
        <v>2633.9</v>
      </c>
      <c r="F98" s="7">
        <v>428.9</v>
      </c>
      <c r="G98" s="6"/>
      <c r="H98" s="11">
        <f t="shared" si="0"/>
        <v>0</v>
      </c>
      <c r="I98" s="11"/>
      <c r="J98" s="11">
        <f t="shared" si="1"/>
        <v>0</v>
      </c>
      <c r="K98" s="11">
        <f t="shared" si="2"/>
        <v>-2633.9</v>
      </c>
    </row>
    <row r="99" spans="1:14" ht="102" customHeight="1" x14ac:dyDescent="0.2">
      <c r="A99" s="29"/>
      <c r="B99" s="36" t="s">
        <v>88</v>
      </c>
      <c r="C99" s="6">
        <v>247.8</v>
      </c>
      <c r="D99" s="7">
        <v>6500</v>
      </c>
      <c r="E99" s="7">
        <v>5981.8</v>
      </c>
      <c r="F99" s="7">
        <v>1280</v>
      </c>
      <c r="G99" s="6">
        <v>30</v>
      </c>
      <c r="H99" s="11">
        <f t="shared" si="0"/>
        <v>-217.8</v>
      </c>
      <c r="I99" s="11"/>
      <c r="J99" s="11">
        <f t="shared" si="1"/>
        <v>0.50152128121969974</v>
      </c>
      <c r="K99" s="11">
        <f t="shared" si="2"/>
        <v>-5951.8</v>
      </c>
    </row>
    <row r="100" spans="1:14" ht="48.75" customHeight="1" x14ac:dyDescent="0.2">
      <c r="A100" s="29"/>
      <c r="B100" s="16" t="s">
        <v>236</v>
      </c>
      <c r="C100" s="6">
        <v>150.4</v>
      </c>
      <c r="D100" s="7">
        <v>1000</v>
      </c>
      <c r="E100" s="7">
        <v>980</v>
      </c>
      <c r="F100" s="7">
        <v>289.2</v>
      </c>
      <c r="G100" s="6">
        <v>239.5</v>
      </c>
      <c r="H100" s="11">
        <f t="shared" si="0"/>
        <v>89.1</v>
      </c>
      <c r="I100" s="11">
        <f t="shared" ref="I100:I110" si="6">((G100/C100)*100)-100</f>
        <v>59.24202127659575</v>
      </c>
      <c r="J100" s="11">
        <f t="shared" si="1"/>
        <v>24.438775510204081</v>
      </c>
      <c r="K100" s="11">
        <f t="shared" si="2"/>
        <v>-740.5</v>
      </c>
    </row>
    <row r="101" spans="1:14" ht="59.45" hidden="1" customHeight="1" x14ac:dyDescent="0.2">
      <c r="A101" s="29"/>
      <c r="B101" s="8"/>
      <c r="C101" s="7"/>
      <c r="D101" s="7"/>
      <c r="E101" s="7"/>
      <c r="F101" s="7"/>
      <c r="G101" s="7"/>
      <c r="H101" s="11">
        <f t="shared" si="0"/>
        <v>0</v>
      </c>
      <c r="I101" s="11" t="e">
        <f t="shared" si="6"/>
        <v>#DIV/0!</v>
      </c>
      <c r="J101" s="11" t="e">
        <f t="shared" si="1"/>
        <v>#DIV/0!</v>
      </c>
      <c r="K101" s="11">
        <f t="shared" si="2"/>
        <v>0</v>
      </c>
    </row>
    <row r="102" spans="1:14" ht="55.5" hidden="1" customHeight="1" x14ac:dyDescent="0.2">
      <c r="A102" s="29"/>
      <c r="B102" s="8"/>
      <c r="C102" s="6"/>
      <c r="D102" s="7"/>
      <c r="E102" s="7"/>
      <c r="F102" s="7"/>
      <c r="G102" s="6"/>
      <c r="H102" s="11">
        <f t="shared" si="0"/>
        <v>0</v>
      </c>
      <c r="I102" s="11" t="e">
        <f t="shared" si="6"/>
        <v>#DIV/0!</v>
      </c>
      <c r="J102" s="11" t="e">
        <f t="shared" si="1"/>
        <v>#DIV/0!</v>
      </c>
      <c r="K102" s="11">
        <f t="shared" si="2"/>
        <v>0</v>
      </c>
    </row>
    <row r="103" spans="1:14" ht="60.75" hidden="1" customHeight="1" x14ac:dyDescent="0.2">
      <c r="A103" s="29"/>
      <c r="B103" s="8"/>
      <c r="C103" s="6"/>
      <c r="D103" s="7"/>
      <c r="E103" s="7"/>
      <c r="F103" s="7"/>
      <c r="G103" s="6"/>
      <c r="H103" s="11">
        <f>G103-C103</f>
        <v>0</v>
      </c>
      <c r="I103" s="11" t="e">
        <f t="shared" si="6"/>
        <v>#DIV/0!</v>
      </c>
      <c r="J103" s="11" t="e">
        <f>G103/E103*100</f>
        <v>#DIV/0!</v>
      </c>
      <c r="K103" s="11">
        <f>G103-E103</f>
        <v>0</v>
      </c>
    </row>
    <row r="104" spans="1:14" ht="58.5" hidden="1" customHeight="1" x14ac:dyDescent="0.2">
      <c r="A104" s="29"/>
      <c r="B104" s="8"/>
      <c r="C104" s="6"/>
      <c r="D104" s="7"/>
      <c r="E104" s="7"/>
      <c r="F104" s="7"/>
      <c r="G104" s="6"/>
      <c r="H104" s="11">
        <f>G104-C104</f>
        <v>0</v>
      </c>
      <c r="I104" s="11" t="e">
        <f t="shared" si="6"/>
        <v>#DIV/0!</v>
      </c>
      <c r="J104" s="11" t="e">
        <f>G104/E104*100</f>
        <v>#DIV/0!</v>
      </c>
      <c r="K104" s="11">
        <f>G104-E104</f>
        <v>0</v>
      </c>
    </row>
    <row r="105" spans="1:14" ht="18" hidden="1" customHeight="1" x14ac:dyDescent="0.2">
      <c r="A105" s="29"/>
      <c r="B105" s="44"/>
      <c r="C105" s="6"/>
      <c r="D105" s="7"/>
      <c r="E105" s="7"/>
      <c r="F105" s="7"/>
      <c r="G105" s="6"/>
      <c r="H105" s="11">
        <f t="shared" si="0"/>
        <v>0</v>
      </c>
      <c r="I105" s="11" t="e">
        <f t="shared" si="6"/>
        <v>#DIV/0!</v>
      </c>
      <c r="J105" s="11" t="e">
        <f t="shared" si="1"/>
        <v>#DIV/0!</v>
      </c>
      <c r="K105" s="11">
        <f t="shared" si="2"/>
        <v>0</v>
      </c>
    </row>
    <row r="106" spans="1:14" ht="77.25" hidden="1" customHeight="1" x14ac:dyDescent="0.2">
      <c r="A106" s="29"/>
      <c r="B106" s="45"/>
      <c r="C106" s="6"/>
      <c r="D106" s="7"/>
      <c r="E106" s="7"/>
      <c r="F106" s="7"/>
      <c r="G106" s="6"/>
      <c r="H106" s="11">
        <f t="shared" si="0"/>
        <v>0</v>
      </c>
      <c r="I106" s="11" t="e">
        <f t="shared" si="6"/>
        <v>#DIV/0!</v>
      </c>
      <c r="J106" s="11" t="e">
        <f t="shared" si="1"/>
        <v>#DIV/0!</v>
      </c>
      <c r="K106" s="11">
        <f t="shared" si="2"/>
        <v>0</v>
      </c>
    </row>
    <row r="107" spans="1:14" ht="51" hidden="1" customHeight="1" x14ac:dyDescent="0.2">
      <c r="A107" s="29"/>
      <c r="B107" s="46"/>
      <c r="C107" s="6"/>
      <c r="D107" s="7"/>
      <c r="E107" s="7"/>
      <c r="F107" s="7"/>
      <c r="G107" s="6"/>
      <c r="H107" s="11">
        <f t="shared" si="0"/>
        <v>0</v>
      </c>
      <c r="I107" s="11" t="e">
        <f t="shared" si="6"/>
        <v>#DIV/0!</v>
      </c>
      <c r="J107" s="11"/>
      <c r="K107" s="11">
        <f t="shared" si="2"/>
        <v>0</v>
      </c>
    </row>
    <row r="108" spans="1:14" ht="101.25" hidden="1" customHeight="1" x14ac:dyDescent="0.2">
      <c r="A108" s="29"/>
      <c r="B108" s="47"/>
      <c r="C108" s="7"/>
      <c r="D108" s="7"/>
      <c r="E108" s="7"/>
      <c r="F108" s="7"/>
      <c r="G108" s="7"/>
      <c r="H108" s="11">
        <f t="shared" si="0"/>
        <v>0</v>
      </c>
      <c r="I108" s="11" t="e">
        <f t="shared" si="6"/>
        <v>#DIV/0!</v>
      </c>
      <c r="J108" s="11" t="e">
        <f t="shared" si="1"/>
        <v>#DIV/0!</v>
      </c>
      <c r="K108" s="11">
        <f t="shared" si="2"/>
        <v>0</v>
      </c>
    </row>
    <row r="109" spans="1:14" ht="39.75" hidden="1" customHeight="1" x14ac:dyDescent="0.2">
      <c r="A109" s="29"/>
      <c r="B109" s="45"/>
      <c r="C109" s="6"/>
      <c r="D109" s="7"/>
      <c r="E109" s="7"/>
      <c r="F109" s="7"/>
      <c r="G109" s="6"/>
      <c r="H109" s="11">
        <f t="shared" si="0"/>
        <v>0</v>
      </c>
      <c r="I109" s="11" t="e">
        <f t="shared" si="6"/>
        <v>#DIV/0!</v>
      </c>
      <c r="J109" s="11"/>
      <c r="K109" s="11">
        <f t="shared" si="2"/>
        <v>0</v>
      </c>
    </row>
    <row r="110" spans="1:14" ht="43.5" hidden="1" customHeight="1" x14ac:dyDescent="0.2">
      <c r="A110" s="29"/>
      <c r="B110" s="8" t="s">
        <v>31</v>
      </c>
      <c r="C110" s="7"/>
      <c r="D110" s="7"/>
      <c r="E110" s="7"/>
      <c r="F110" s="7"/>
      <c r="G110" s="7"/>
      <c r="H110" s="11">
        <f t="shared" si="0"/>
        <v>0</v>
      </c>
      <c r="I110" s="11" t="e">
        <f t="shared" si="6"/>
        <v>#DIV/0!</v>
      </c>
      <c r="J110" s="11" t="e">
        <f t="shared" si="1"/>
        <v>#DIV/0!</v>
      </c>
      <c r="K110" s="11">
        <f t="shared" si="2"/>
        <v>0</v>
      </c>
    </row>
    <row r="111" spans="1:14" ht="40.5" customHeight="1" x14ac:dyDescent="0.2">
      <c r="A111" s="29"/>
      <c r="B111" s="8" t="s">
        <v>32</v>
      </c>
      <c r="C111" s="6">
        <f>193.9+158.1</f>
        <v>352</v>
      </c>
      <c r="D111" s="7">
        <v>1050</v>
      </c>
      <c r="E111" s="7">
        <v>1050</v>
      </c>
      <c r="F111" s="7">
        <v>390</v>
      </c>
      <c r="G111" s="6">
        <v>218</v>
      </c>
      <c r="H111" s="11">
        <f t="shared" si="0"/>
        <v>-134</v>
      </c>
      <c r="I111" s="11">
        <f>((G111/C111)*100)-100</f>
        <v>-38.06818181818182</v>
      </c>
      <c r="J111" s="11">
        <f t="shared" si="1"/>
        <v>20.761904761904763</v>
      </c>
      <c r="K111" s="11">
        <f t="shared" si="2"/>
        <v>-832</v>
      </c>
    </row>
    <row r="112" spans="1:14" ht="40.5" customHeight="1" x14ac:dyDescent="0.2">
      <c r="A112" s="29"/>
      <c r="B112" s="8" t="s">
        <v>31</v>
      </c>
      <c r="C112" s="6">
        <v>4</v>
      </c>
      <c r="D112" s="7">
        <v>560</v>
      </c>
      <c r="E112" s="7">
        <v>2174.6999999999998</v>
      </c>
      <c r="F112" s="7">
        <v>1710.8</v>
      </c>
      <c r="G112" s="6"/>
      <c r="H112" s="11">
        <f t="shared" si="0"/>
        <v>-4</v>
      </c>
      <c r="I112" s="11">
        <f>((G112/C112)*100)-100</f>
        <v>-100</v>
      </c>
      <c r="J112" s="11">
        <f t="shared" si="1"/>
        <v>0</v>
      </c>
      <c r="K112" s="11">
        <f t="shared" si="2"/>
        <v>-2174.6999999999998</v>
      </c>
    </row>
    <row r="113" spans="1:11" ht="50.25" customHeight="1" x14ac:dyDescent="0.2">
      <c r="A113" s="29"/>
      <c r="B113" s="66" t="s">
        <v>220</v>
      </c>
      <c r="C113" s="6">
        <v>410</v>
      </c>
      <c r="D113" s="7"/>
      <c r="E113" s="7"/>
      <c r="F113" s="7"/>
      <c r="G113" s="6"/>
      <c r="H113" s="11">
        <f t="shared" si="0"/>
        <v>-410</v>
      </c>
      <c r="I113" s="11"/>
      <c r="J113" s="11"/>
      <c r="K113" s="11">
        <f t="shared" si="2"/>
        <v>0</v>
      </c>
    </row>
    <row r="114" spans="1:11" ht="57.75" hidden="1" customHeight="1" x14ac:dyDescent="0.2">
      <c r="A114" s="29"/>
      <c r="B114" s="8"/>
      <c r="C114" s="6"/>
      <c r="D114" s="7"/>
      <c r="E114" s="7"/>
      <c r="F114" s="7"/>
      <c r="G114" s="6"/>
      <c r="H114" s="11">
        <f t="shared" si="0"/>
        <v>0</v>
      </c>
      <c r="I114" s="11"/>
      <c r="J114" s="11" t="e">
        <f t="shared" ref="J114:J182" si="7">G114/E114*100</f>
        <v>#DIV/0!</v>
      </c>
      <c r="K114" s="11">
        <f t="shared" si="2"/>
        <v>0</v>
      </c>
    </row>
    <row r="115" spans="1:11" ht="23.25" hidden="1" customHeight="1" x14ac:dyDescent="0.2">
      <c r="A115" s="29"/>
      <c r="B115" s="8"/>
      <c r="C115" s="6"/>
      <c r="D115" s="7"/>
      <c r="E115" s="7"/>
      <c r="F115" s="7"/>
      <c r="G115" s="6"/>
      <c r="H115" s="11">
        <f t="shared" ref="H115:H182" si="8">G115-C115</f>
        <v>0</v>
      </c>
      <c r="I115" s="11"/>
      <c r="J115" s="11" t="e">
        <f t="shared" si="7"/>
        <v>#DIV/0!</v>
      </c>
      <c r="K115" s="11">
        <f t="shared" ref="K115:K182" si="9">G115-E115</f>
        <v>0</v>
      </c>
    </row>
    <row r="116" spans="1:11" ht="24.75" hidden="1" customHeight="1" x14ac:dyDescent="0.2">
      <c r="A116" s="29"/>
      <c r="B116" s="8"/>
      <c r="C116" s="6"/>
      <c r="D116" s="7"/>
      <c r="E116" s="7"/>
      <c r="F116" s="7"/>
      <c r="G116" s="6"/>
      <c r="H116" s="11">
        <f t="shared" si="8"/>
        <v>0</v>
      </c>
      <c r="I116" s="11" t="e">
        <f>((G116/C116)*100)-100</f>
        <v>#DIV/0!</v>
      </c>
      <c r="J116" s="11" t="e">
        <f t="shared" si="7"/>
        <v>#DIV/0!</v>
      </c>
      <c r="K116" s="11">
        <f t="shared" si="9"/>
        <v>0</v>
      </c>
    </row>
    <row r="117" spans="1:11" ht="125.45" customHeight="1" x14ac:dyDescent="0.2">
      <c r="A117" s="29"/>
      <c r="B117" s="8" t="s">
        <v>241</v>
      </c>
      <c r="C117" s="6">
        <v>145.6</v>
      </c>
      <c r="D117" s="7">
        <v>1000</v>
      </c>
      <c r="E117" s="7">
        <v>992.7</v>
      </c>
      <c r="F117" s="7">
        <v>344.7</v>
      </c>
      <c r="G117" s="6">
        <v>332.3</v>
      </c>
      <c r="H117" s="11">
        <f t="shared" si="8"/>
        <v>186.70000000000002</v>
      </c>
      <c r="I117" s="11">
        <f>((G117/C117)*100)-100</f>
        <v>128.22802197802199</v>
      </c>
      <c r="J117" s="11">
        <f t="shared" si="7"/>
        <v>33.474362848796211</v>
      </c>
      <c r="K117" s="11">
        <f t="shared" si="9"/>
        <v>-660.40000000000009</v>
      </c>
    </row>
    <row r="118" spans="1:11" ht="57.6" customHeight="1" x14ac:dyDescent="0.2">
      <c r="A118" s="29"/>
      <c r="B118" s="8" t="s">
        <v>242</v>
      </c>
      <c r="C118" s="6"/>
      <c r="D118" s="7">
        <v>2500</v>
      </c>
      <c r="E118" s="7">
        <v>2500</v>
      </c>
      <c r="F118" s="7">
        <v>771.3</v>
      </c>
      <c r="G118" s="6">
        <v>512.20000000000005</v>
      </c>
      <c r="H118" s="11">
        <f t="shared" si="8"/>
        <v>512.20000000000005</v>
      </c>
      <c r="I118" s="11"/>
      <c r="J118" s="11">
        <f t="shared" si="7"/>
        <v>20.488</v>
      </c>
      <c r="K118" s="11">
        <f t="shared" si="9"/>
        <v>-1987.8</v>
      </c>
    </row>
    <row r="119" spans="1:11" ht="83.25" customHeight="1" x14ac:dyDescent="0.2">
      <c r="A119" s="29"/>
      <c r="B119" s="67" t="s">
        <v>92</v>
      </c>
      <c r="C119" s="6"/>
      <c r="D119" s="7">
        <v>4000</v>
      </c>
      <c r="E119" s="7">
        <v>4000</v>
      </c>
      <c r="F119" s="7">
        <v>1000</v>
      </c>
      <c r="G119" s="6"/>
      <c r="H119" s="11">
        <f t="shared" si="8"/>
        <v>0</v>
      </c>
      <c r="I119" s="11"/>
      <c r="J119" s="11">
        <f t="shared" si="7"/>
        <v>0</v>
      </c>
      <c r="K119" s="11">
        <f t="shared" si="9"/>
        <v>-4000</v>
      </c>
    </row>
    <row r="120" spans="1:11" ht="45" customHeight="1" x14ac:dyDescent="0.2">
      <c r="A120" s="29"/>
      <c r="B120" s="8" t="s">
        <v>72</v>
      </c>
      <c r="C120" s="6">
        <v>59.9</v>
      </c>
      <c r="D120" s="7">
        <v>350</v>
      </c>
      <c r="E120" s="7">
        <v>350</v>
      </c>
      <c r="F120" s="7">
        <v>89.4</v>
      </c>
      <c r="G120" s="6"/>
      <c r="H120" s="11">
        <f t="shared" si="8"/>
        <v>-59.9</v>
      </c>
      <c r="I120" s="11">
        <f>((G120/C120)*100)-100</f>
        <v>-100</v>
      </c>
      <c r="J120" s="11">
        <f t="shared" si="7"/>
        <v>0</v>
      </c>
      <c r="K120" s="11">
        <f t="shared" si="9"/>
        <v>-350</v>
      </c>
    </row>
    <row r="121" spans="1:11" ht="52.9" customHeight="1" x14ac:dyDescent="0.2">
      <c r="A121" s="29"/>
      <c r="B121" s="68" t="s">
        <v>243</v>
      </c>
      <c r="C121" s="6"/>
      <c r="D121" s="7">
        <v>200</v>
      </c>
      <c r="E121" s="7">
        <v>200</v>
      </c>
      <c r="F121" s="7">
        <v>100</v>
      </c>
      <c r="G121" s="6"/>
      <c r="H121" s="11">
        <f t="shared" si="8"/>
        <v>0</v>
      </c>
      <c r="I121" s="11"/>
      <c r="J121" s="11">
        <f t="shared" si="7"/>
        <v>0</v>
      </c>
      <c r="K121" s="11">
        <f t="shared" si="9"/>
        <v>-200</v>
      </c>
    </row>
    <row r="122" spans="1:11" ht="58.5" customHeight="1" x14ac:dyDescent="0.2">
      <c r="A122" s="29"/>
      <c r="B122" s="67" t="s">
        <v>240</v>
      </c>
      <c r="C122" s="7"/>
      <c r="D122" s="7">
        <v>500</v>
      </c>
      <c r="E122" s="7">
        <v>500</v>
      </c>
      <c r="F122" s="7">
        <v>150</v>
      </c>
      <c r="G122" s="7"/>
      <c r="H122" s="11">
        <f t="shared" si="8"/>
        <v>0</v>
      </c>
      <c r="I122" s="11"/>
      <c r="J122" s="11">
        <f>G122/E122*100</f>
        <v>0</v>
      </c>
      <c r="K122" s="11">
        <f t="shared" si="9"/>
        <v>-500</v>
      </c>
    </row>
    <row r="123" spans="1:11" ht="56.25" customHeight="1" x14ac:dyDescent="0.2">
      <c r="A123" s="29"/>
      <c r="B123" s="15" t="s">
        <v>221</v>
      </c>
      <c r="C123" s="6">
        <v>295.10000000000002</v>
      </c>
      <c r="D123" s="7">
        <v>1330</v>
      </c>
      <c r="E123" s="7">
        <v>1330</v>
      </c>
      <c r="F123" s="7">
        <v>382.7</v>
      </c>
      <c r="G123" s="6">
        <v>381.4</v>
      </c>
      <c r="H123" s="11">
        <f t="shared" si="8"/>
        <v>86.299999999999955</v>
      </c>
      <c r="I123" s="11"/>
      <c r="J123" s="11">
        <f t="shared" si="7"/>
        <v>28.676691729323306</v>
      </c>
      <c r="K123" s="11">
        <f t="shared" si="9"/>
        <v>-948.6</v>
      </c>
    </row>
    <row r="124" spans="1:11" ht="63.75" customHeight="1" x14ac:dyDescent="0.2">
      <c r="A124" s="29"/>
      <c r="B124" s="66" t="s">
        <v>222</v>
      </c>
      <c r="C124" s="6">
        <v>760.3</v>
      </c>
      <c r="D124" s="7">
        <v>3084</v>
      </c>
      <c r="E124" s="7">
        <v>3084</v>
      </c>
      <c r="F124" s="7">
        <v>1003</v>
      </c>
      <c r="G124" s="6">
        <v>910.9</v>
      </c>
      <c r="H124" s="11">
        <f t="shared" si="8"/>
        <v>150.60000000000002</v>
      </c>
      <c r="I124" s="11">
        <f>((G124/C124)*100)-100</f>
        <v>19.807970537945565</v>
      </c>
      <c r="J124" s="11">
        <f t="shared" si="7"/>
        <v>29.536316472114137</v>
      </c>
      <c r="K124" s="11">
        <f t="shared" si="9"/>
        <v>-2173.1</v>
      </c>
    </row>
    <row r="125" spans="1:11" ht="24.75" customHeight="1" x14ac:dyDescent="0.2">
      <c r="A125" s="29"/>
      <c r="B125" s="8" t="s">
        <v>30</v>
      </c>
      <c r="C125" s="6">
        <v>51.4</v>
      </c>
      <c r="D125" s="7">
        <f>500.7+1000</f>
        <v>1500.7</v>
      </c>
      <c r="E125" s="7">
        <f>678+1000</f>
        <v>1678</v>
      </c>
      <c r="F125" s="7">
        <f>534.1+250</f>
        <v>784.1</v>
      </c>
      <c r="G125" s="6">
        <v>228.3</v>
      </c>
      <c r="H125" s="11">
        <f>G125-C125</f>
        <v>176.9</v>
      </c>
      <c r="I125" s="11">
        <f>((G125/C125)*100)-100</f>
        <v>344.16342412451365</v>
      </c>
      <c r="J125" s="11">
        <f>G125/E125*100</f>
        <v>13.605482717520859</v>
      </c>
      <c r="K125" s="11">
        <f>G125-E125</f>
        <v>-1449.7</v>
      </c>
    </row>
    <row r="126" spans="1:11" ht="83.25" hidden="1" customHeight="1" x14ac:dyDescent="0.2">
      <c r="A126" s="29"/>
      <c r="B126" s="69"/>
      <c r="C126" s="6"/>
      <c r="D126" s="7"/>
      <c r="E126" s="7"/>
      <c r="F126" s="7"/>
      <c r="G126" s="6"/>
      <c r="H126" s="11">
        <f t="shared" si="8"/>
        <v>0</v>
      </c>
      <c r="I126" s="11"/>
      <c r="J126" s="11" t="e">
        <f t="shared" si="7"/>
        <v>#DIV/0!</v>
      </c>
      <c r="K126" s="11">
        <f t="shared" si="9"/>
        <v>0</v>
      </c>
    </row>
    <row r="127" spans="1:11" ht="99.75" hidden="1" customHeight="1" x14ac:dyDescent="0.2">
      <c r="A127" s="29"/>
      <c r="B127" s="69"/>
      <c r="C127" s="6"/>
      <c r="D127" s="7"/>
      <c r="E127" s="7"/>
      <c r="F127" s="7"/>
      <c r="G127" s="6"/>
      <c r="H127" s="11">
        <f t="shared" si="8"/>
        <v>0</v>
      </c>
      <c r="I127" s="11"/>
      <c r="J127" s="11" t="e">
        <f t="shared" si="7"/>
        <v>#DIV/0!</v>
      </c>
      <c r="K127" s="11">
        <f t="shared" si="9"/>
        <v>0</v>
      </c>
    </row>
    <row r="128" spans="1:11" ht="86.25" hidden="1" customHeight="1" x14ac:dyDescent="0.2">
      <c r="A128" s="29"/>
      <c r="B128" s="69"/>
      <c r="C128" s="6"/>
      <c r="D128" s="7"/>
      <c r="E128" s="7"/>
      <c r="F128" s="7"/>
      <c r="G128" s="6"/>
      <c r="H128" s="11">
        <f t="shared" si="8"/>
        <v>0</v>
      </c>
      <c r="I128" s="11"/>
      <c r="J128" s="11" t="e">
        <f t="shared" si="7"/>
        <v>#DIV/0!</v>
      </c>
      <c r="K128" s="11">
        <f t="shared" si="9"/>
        <v>0</v>
      </c>
    </row>
    <row r="129" spans="1:11" ht="76.5" hidden="1" customHeight="1" x14ac:dyDescent="0.2">
      <c r="A129" s="29"/>
      <c r="B129" s="69"/>
      <c r="C129" s="6"/>
      <c r="D129" s="7"/>
      <c r="E129" s="7"/>
      <c r="F129" s="7"/>
      <c r="G129" s="6"/>
      <c r="H129" s="11">
        <f t="shared" si="8"/>
        <v>0</v>
      </c>
      <c r="I129" s="11"/>
      <c r="J129" s="11" t="e">
        <f t="shared" si="7"/>
        <v>#DIV/0!</v>
      </c>
      <c r="K129" s="11">
        <f t="shared" si="9"/>
        <v>0</v>
      </c>
    </row>
    <row r="130" spans="1:11" ht="71.25" hidden="1" customHeight="1" x14ac:dyDescent="0.2">
      <c r="A130" s="29"/>
      <c r="B130" s="69"/>
      <c r="C130" s="6"/>
      <c r="D130" s="7"/>
      <c r="E130" s="7"/>
      <c r="F130" s="7"/>
      <c r="G130" s="6"/>
      <c r="H130" s="11">
        <f t="shared" si="8"/>
        <v>0</v>
      </c>
      <c r="I130" s="11"/>
      <c r="J130" s="11" t="e">
        <f t="shared" si="7"/>
        <v>#DIV/0!</v>
      </c>
      <c r="K130" s="11">
        <f t="shared" si="9"/>
        <v>0</v>
      </c>
    </row>
    <row r="131" spans="1:11" ht="36.75" hidden="1" customHeight="1" x14ac:dyDescent="0.2">
      <c r="A131" s="29"/>
      <c r="B131" s="69"/>
      <c r="C131" s="6"/>
      <c r="D131" s="7"/>
      <c r="E131" s="7"/>
      <c r="F131" s="7"/>
      <c r="G131" s="6"/>
      <c r="H131" s="11">
        <f t="shared" si="8"/>
        <v>0</v>
      </c>
      <c r="I131" s="11"/>
      <c r="J131" s="11" t="e">
        <f t="shared" si="7"/>
        <v>#DIV/0!</v>
      </c>
      <c r="K131" s="11">
        <f t="shared" si="9"/>
        <v>0</v>
      </c>
    </row>
    <row r="132" spans="1:11" ht="79.5" hidden="1" customHeight="1" x14ac:dyDescent="0.2">
      <c r="A132" s="29"/>
      <c r="B132" s="70"/>
      <c r="C132" s="6"/>
      <c r="D132" s="7"/>
      <c r="E132" s="7"/>
      <c r="F132" s="7"/>
      <c r="G132" s="6"/>
      <c r="H132" s="11">
        <f t="shared" si="8"/>
        <v>0</v>
      </c>
      <c r="I132" s="11"/>
      <c r="J132" s="11" t="e">
        <f t="shared" si="7"/>
        <v>#DIV/0!</v>
      </c>
      <c r="K132" s="11">
        <f t="shared" si="9"/>
        <v>0</v>
      </c>
    </row>
    <row r="133" spans="1:11" ht="43.5" hidden="1" customHeight="1" x14ac:dyDescent="0.2">
      <c r="A133" s="29"/>
      <c r="B133" s="71"/>
      <c r="C133" s="6"/>
      <c r="D133" s="7"/>
      <c r="E133" s="7"/>
      <c r="F133" s="7"/>
      <c r="G133" s="6"/>
      <c r="H133" s="11">
        <f t="shared" si="8"/>
        <v>0</v>
      </c>
      <c r="I133" s="11"/>
      <c r="J133" s="11" t="e">
        <f t="shared" si="7"/>
        <v>#DIV/0!</v>
      </c>
      <c r="K133" s="11">
        <f t="shared" si="9"/>
        <v>0</v>
      </c>
    </row>
    <row r="134" spans="1:11" ht="101.25" hidden="1" customHeight="1" x14ac:dyDescent="0.2">
      <c r="A134" s="29"/>
      <c r="B134" s="71"/>
      <c r="C134" s="6"/>
      <c r="D134" s="7"/>
      <c r="E134" s="7"/>
      <c r="F134" s="7"/>
      <c r="G134" s="6"/>
      <c r="H134" s="11">
        <f t="shared" si="8"/>
        <v>0</v>
      </c>
      <c r="I134" s="11"/>
      <c r="J134" s="11" t="e">
        <f t="shared" si="7"/>
        <v>#DIV/0!</v>
      </c>
      <c r="K134" s="11">
        <f t="shared" si="9"/>
        <v>0</v>
      </c>
    </row>
    <row r="135" spans="1:11" ht="105.75" hidden="1" customHeight="1" x14ac:dyDescent="0.2">
      <c r="A135" s="72"/>
      <c r="B135" s="73"/>
      <c r="C135" s="7"/>
      <c r="D135" s="7"/>
      <c r="E135" s="7"/>
      <c r="F135" s="7"/>
      <c r="G135" s="7"/>
      <c r="H135" s="11">
        <f t="shared" si="8"/>
        <v>0</v>
      </c>
      <c r="I135" s="11"/>
      <c r="J135" s="11" t="e">
        <f t="shared" si="7"/>
        <v>#DIV/0!</v>
      </c>
      <c r="K135" s="11">
        <f t="shared" si="9"/>
        <v>0</v>
      </c>
    </row>
    <row r="136" spans="1:11" ht="75.75" hidden="1" customHeight="1" x14ac:dyDescent="0.2">
      <c r="A136" s="72"/>
      <c r="B136" s="73"/>
      <c r="C136" s="7"/>
      <c r="D136" s="7"/>
      <c r="E136" s="7"/>
      <c r="F136" s="7"/>
      <c r="G136" s="7"/>
      <c r="H136" s="11">
        <f t="shared" si="8"/>
        <v>0</v>
      </c>
      <c r="I136" s="11"/>
      <c r="J136" s="11" t="e">
        <f t="shared" si="7"/>
        <v>#DIV/0!</v>
      </c>
      <c r="K136" s="11">
        <f t="shared" si="9"/>
        <v>0</v>
      </c>
    </row>
    <row r="137" spans="1:11" ht="27.75" customHeight="1" x14ac:dyDescent="0.2">
      <c r="A137" s="39"/>
      <c r="B137" s="74" t="s">
        <v>33</v>
      </c>
      <c r="C137" s="9">
        <f>C139+C140</f>
        <v>0</v>
      </c>
      <c r="D137" s="9">
        <f>D139+D140</f>
        <v>75</v>
      </c>
      <c r="E137" s="9">
        <f>E139+E140</f>
        <v>75</v>
      </c>
      <c r="F137" s="9">
        <f>F139+F140</f>
        <v>0</v>
      </c>
      <c r="G137" s="9">
        <f>G139+G140</f>
        <v>0</v>
      </c>
      <c r="H137" s="11">
        <f t="shared" si="8"/>
        <v>0</v>
      </c>
      <c r="I137" s="11"/>
      <c r="J137" s="11">
        <f t="shared" si="7"/>
        <v>0</v>
      </c>
      <c r="K137" s="11">
        <f t="shared" si="9"/>
        <v>-75</v>
      </c>
    </row>
    <row r="138" spans="1:11" x14ac:dyDescent="0.2">
      <c r="A138" s="31"/>
      <c r="B138" s="75" t="s">
        <v>3</v>
      </c>
      <c r="C138" s="6"/>
      <c r="D138" s="7"/>
      <c r="E138" s="7"/>
      <c r="F138" s="7"/>
      <c r="G138" s="6"/>
      <c r="H138" s="11">
        <f t="shared" si="8"/>
        <v>0</v>
      </c>
      <c r="I138" s="11"/>
      <c r="J138" s="11"/>
      <c r="K138" s="11">
        <f t="shared" si="9"/>
        <v>0</v>
      </c>
    </row>
    <row r="139" spans="1:11" ht="100.5" customHeight="1" x14ac:dyDescent="0.2">
      <c r="A139" s="27" t="s">
        <v>223</v>
      </c>
      <c r="B139" s="76" t="s">
        <v>34</v>
      </c>
      <c r="C139" s="6"/>
      <c r="D139" s="7">
        <v>50</v>
      </c>
      <c r="E139" s="7">
        <v>50</v>
      </c>
      <c r="F139" s="7"/>
      <c r="G139" s="6"/>
      <c r="H139" s="11">
        <f t="shared" si="8"/>
        <v>0</v>
      </c>
      <c r="I139" s="11"/>
      <c r="J139" s="11">
        <f>G139/E139*100</f>
        <v>0</v>
      </c>
      <c r="K139" s="11">
        <f>G139-E139</f>
        <v>-50</v>
      </c>
    </row>
    <row r="140" spans="1:11" ht="60" customHeight="1" x14ac:dyDescent="0.2">
      <c r="A140" s="27" t="s">
        <v>224</v>
      </c>
      <c r="B140" s="76" t="s">
        <v>35</v>
      </c>
      <c r="C140" s="11"/>
      <c r="D140" s="7">
        <v>25</v>
      </c>
      <c r="E140" s="7">
        <v>25</v>
      </c>
      <c r="F140" s="7"/>
      <c r="G140" s="11"/>
      <c r="H140" s="11">
        <f t="shared" si="8"/>
        <v>0</v>
      </c>
      <c r="I140" s="11"/>
      <c r="J140" s="11"/>
      <c r="K140" s="11">
        <f t="shared" si="9"/>
        <v>-25</v>
      </c>
    </row>
    <row r="141" spans="1:11" ht="60.75" customHeight="1" x14ac:dyDescent="0.2">
      <c r="A141" s="137" t="s">
        <v>69</v>
      </c>
      <c r="B141" s="138"/>
      <c r="C141" s="1">
        <f>C12+C16+C23+C28+C34+C41+C48+C52+C60+C78+C79+C80+C94+C85+C95+C87+C90+C96+C137+C58+C59</f>
        <v>214258.80000000005</v>
      </c>
      <c r="D141" s="1">
        <f>D12+D16+D23+D28+D34+D41+D48+D52+D60+D78+D79+D80+D94+D85+D95+D87+D90+D96+D137+D58+D59</f>
        <v>1201748.2</v>
      </c>
      <c r="E141" s="1">
        <f>E12+E16+E23+E28+E34+E41+E48+E52+E60+E78+E79+E80+E94+E85+E95+E87+E90+E96+E137+E58+E59+E86</f>
        <v>1202875.5</v>
      </c>
      <c r="F141" s="1">
        <f>F12+F16+F23+F28+F34+F41+F48+F52+F60+F78+F79+F80+F94+F85+F95+F87+F90+F96+F137+F58+F59+F86</f>
        <v>437324.69999999995</v>
      </c>
      <c r="G141" s="1">
        <f>G12+G16+G23+G28+G34+G41+G48+G52+G60+G78+G79+G80+G94+G85+G95+G87+G90+G96+G137+G58+G59</f>
        <v>304191.49999999994</v>
      </c>
      <c r="H141" s="11">
        <f t="shared" si="8"/>
        <v>89932.699999999895</v>
      </c>
      <c r="I141" s="11">
        <f>((G141/C141)*100)-100</f>
        <v>41.973865250808785</v>
      </c>
      <c r="J141" s="11">
        <f t="shared" si="7"/>
        <v>25.288693634544885</v>
      </c>
      <c r="K141" s="11">
        <f t="shared" si="9"/>
        <v>-898684</v>
      </c>
    </row>
    <row r="142" spans="1:11" ht="60.75" hidden="1" customHeight="1" x14ac:dyDescent="0.2">
      <c r="A142" s="34"/>
      <c r="B142" s="77"/>
      <c r="C142" s="1"/>
      <c r="D142" s="1"/>
      <c r="E142" s="1"/>
      <c r="F142" s="1">
        <v>312411.40000000002</v>
      </c>
      <c r="G142" s="1"/>
      <c r="H142" s="11"/>
      <c r="I142" s="11"/>
      <c r="J142" s="11"/>
      <c r="K142" s="11"/>
    </row>
    <row r="143" spans="1:11" ht="60.75" hidden="1" customHeight="1" x14ac:dyDescent="0.2">
      <c r="A143" s="34"/>
      <c r="B143" s="77"/>
      <c r="C143" s="1"/>
      <c r="D143" s="1"/>
      <c r="E143" s="1"/>
      <c r="F143" s="1">
        <f>F142-F144</f>
        <v>0</v>
      </c>
      <c r="G143" s="1"/>
      <c r="H143" s="11"/>
      <c r="I143" s="11"/>
      <c r="J143" s="11"/>
      <c r="K143" s="11"/>
    </row>
    <row r="144" spans="1:11" ht="49.5" customHeight="1" x14ac:dyDescent="0.2">
      <c r="A144" s="29"/>
      <c r="B144" s="78" t="s">
        <v>83</v>
      </c>
      <c r="C144" s="9">
        <f>C146+C147++C151+C152+C153+C154+C155+C156+C157+C149+C158+C148+C150</f>
        <v>374005.7</v>
      </c>
      <c r="D144" s="9">
        <f>D146+D147++D151+D152+D153+D154+D155+D156+D157+D149+D158+D148+D150</f>
        <v>1091624</v>
      </c>
      <c r="E144" s="9">
        <f>E146+E147++E151+E152+E153+E154+E155+E156+E157+E149+E158+E148+E150</f>
        <v>1071414.2999999998</v>
      </c>
      <c r="F144" s="9">
        <f>F146+F147++F151+F152+F153+F154+F155+F156+F157+F149+F158+F148+F150</f>
        <v>312411.40000000002</v>
      </c>
      <c r="G144" s="9">
        <f>G146+G147++G151+G152+G153+G154+G155+G156+G157+G149+G158+G148+G150</f>
        <v>280153.7</v>
      </c>
      <c r="H144" s="11">
        <f t="shared" si="8"/>
        <v>-93852</v>
      </c>
      <c r="I144" s="11">
        <f>((G144/C144)*100)-100</f>
        <v>-25.093735202431418</v>
      </c>
      <c r="J144" s="11">
        <f t="shared" si="7"/>
        <v>26.148026958385756</v>
      </c>
      <c r="K144" s="11">
        <f t="shared" si="9"/>
        <v>-791260.59999999986</v>
      </c>
    </row>
    <row r="145" spans="1:15" x14ac:dyDescent="0.2">
      <c r="A145" s="31"/>
      <c r="B145" s="75" t="s">
        <v>24</v>
      </c>
      <c r="C145" s="79"/>
      <c r="D145" s="79"/>
      <c r="E145" s="79"/>
      <c r="F145" s="79"/>
      <c r="G145" s="79"/>
      <c r="H145" s="11"/>
      <c r="I145" s="11"/>
      <c r="J145" s="11"/>
      <c r="K145" s="11"/>
    </row>
    <row r="146" spans="1:15" ht="37.5" x14ac:dyDescent="0.2">
      <c r="A146" s="80" t="s">
        <v>125</v>
      </c>
      <c r="B146" s="81" t="s">
        <v>38</v>
      </c>
      <c r="C146" s="79">
        <v>317.5</v>
      </c>
      <c r="D146" s="79">
        <v>1870.7</v>
      </c>
      <c r="E146" s="79">
        <v>1870.7</v>
      </c>
      <c r="F146" s="79">
        <v>429.4</v>
      </c>
      <c r="G146" s="79">
        <v>338.6</v>
      </c>
      <c r="H146" s="11">
        <f t="shared" si="8"/>
        <v>21.100000000000023</v>
      </c>
      <c r="I146" s="11">
        <f>((G146/C146)*100)-100</f>
        <v>6.645669291338578</v>
      </c>
      <c r="J146" s="11">
        <f t="shared" si="7"/>
        <v>18.100176404554446</v>
      </c>
      <c r="K146" s="11">
        <f t="shared" si="9"/>
        <v>-1532.1</v>
      </c>
      <c r="L146" s="3"/>
      <c r="M146" s="3"/>
      <c r="N146" s="3"/>
      <c r="O146" s="3"/>
    </row>
    <row r="147" spans="1:15" ht="56.25" customHeight="1" x14ac:dyDescent="0.2">
      <c r="A147" s="27" t="s">
        <v>100</v>
      </c>
      <c r="B147" s="81" t="s">
        <v>82</v>
      </c>
      <c r="C147" s="79">
        <v>64775.5</v>
      </c>
      <c r="D147" s="79">
        <v>311198.5</v>
      </c>
      <c r="E147" s="79">
        <v>311198.5</v>
      </c>
      <c r="F147" s="79">
        <v>71886.8</v>
      </c>
      <c r="G147" s="79">
        <v>67814.100000000006</v>
      </c>
      <c r="H147" s="11">
        <f t="shared" si="8"/>
        <v>3038.6000000000058</v>
      </c>
      <c r="I147" s="11">
        <f>((G147/C147)*100)-100</f>
        <v>4.6909711233413987</v>
      </c>
      <c r="J147" s="11">
        <f t="shared" si="7"/>
        <v>21.79126827410801</v>
      </c>
      <c r="K147" s="11">
        <f>G147-E147</f>
        <v>-243384.4</v>
      </c>
    </row>
    <row r="148" spans="1:15" ht="79.900000000000006" customHeight="1" x14ac:dyDescent="0.2">
      <c r="A148" s="82" t="s">
        <v>113</v>
      </c>
      <c r="B148" s="83" t="s">
        <v>247</v>
      </c>
      <c r="C148" s="79"/>
      <c r="D148" s="79">
        <v>1397</v>
      </c>
      <c r="E148" s="79">
        <v>1397</v>
      </c>
      <c r="F148" s="79">
        <v>349.5</v>
      </c>
      <c r="G148" s="79">
        <v>121.4</v>
      </c>
      <c r="H148" s="11">
        <f t="shared" si="8"/>
        <v>121.4</v>
      </c>
      <c r="I148" s="11"/>
      <c r="J148" s="11">
        <f t="shared" si="7"/>
        <v>8.6900501073729437</v>
      </c>
      <c r="K148" s="11">
        <f>G148-E148</f>
        <v>-1275.5999999999999</v>
      </c>
    </row>
    <row r="149" spans="1:15" ht="67.5" customHeight="1" x14ac:dyDescent="0.2">
      <c r="A149" s="84" t="s">
        <v>103</v>
      </c>
      <c r="B149" s="81" t="s">
        <v>81</v>
      </c>
      <c r="C149" s="79">
        <v>53115.7</v>
      </c>
      <c r="D149" s="79">
        <v>182962.1</v>
      </c>
      <c r="E149" s="79">
        <v>185232.4</v>
      </c>
      <c r="F149" s="79">
        <v>46328.2</v>
      </c>
      <c r="G149" s="79">
        <v>41618.6</v>
      </c>
      <c r="H149" s="11">
        <f t="shared" si="8"/>
        <v>-11497.099999999999</v>
      </c>
      <c r="I149" s="11">
        <f>((G149/C149)*100)-100</f>
        <v>-21.645389216371044</v>
      </c>
      <c r="J149" s="11">
        <f t="shared" si="7"/>
        <v>22.468315478285657</v>
      </c>
      <c r="K149" s="11">
        <f t="shared" si="9"/>
        <v>-143613.79999999999</v>
      </c>
    </row>
    <row r="150" spans="1:15" ht="67.5" customHeight="1" x14ac:dyDescent="0.2">
      <c r="A150" s="85" t="s">
        <v>249</v>
      </c>
      <c r="B150" s="81" t="s">
        <v>248</v>
      </c>
      <c r="C150" s="79"/>
      <c r="D150" s="79">
        <v>5213.5</v>
      </c>
      <c r="E150" s="79">
        <v>5213.5</v>
      </c>
      <c r="F150" s="79">
        <v>1303.5</v>
      </c>
      <c r="G150" s="79">
        <v>1303.5</v>
      </c>
      <c r="H150" s="11">
        <f t="shared" si="8"/>
        <v>1303.5</v>
      </c>
      <c r="I150" s="11"/>
      <c r="J150" s="11">
        <f t="shared" si="7"/>
        <v>25.002397621559414</v>
      </c>
      <c r="K150" s="11">
        <f t="shared" si="9"/>
        <v>-3910</v>
      </c>
    </row>
    <row r="151" spans="1:15" ht="69.599999999999994" customHeight="1" x14ac:dyDescent="0.2">
      <c r="A151" s="80" t="s">
        <v>123</v>
      </c>
      <c r="B151" s="86" t="s">
        <v>124</v>
      </c>
      <c r="C151" s="79">
        <v>1335.4</v>
      </c>
      <c r="D151" s="79">
        <v>1948.5</v>
      </c>
      <c r="E151" s="79">
        <v>1948.5</v>
      </c>
      <c r="F151" s="79">
        <v>1948.5</v>
      </c>
      <c r="G151" s="79">
        <v>1948.5</v>
      </c>
      <c r="H151" s="11">
        <f t="shared" si="8"/>
        <v>613.09999999999991</v>
      </c>
      <c r="I151" s="11">
        <f>((G151/C151)*100)-100</f>
        <v>45.911337426988155</v>
      </c>
      <c r="J151" s="11">
        <f t="shared" si="7"/>
        <v>100</v>
      </c>
      <c r="K151" s="11">
        <f t="shared" si="9"/>
        <v>0</v>
      </c>
    </row>
    <row r="152" spans="1:15" s="30" customFormat="1" ht="131.25" x14ac:dyDescent="0.2">
      <c r="A152" s="27" t="s">
        <v>126</v>
      </c>
      <c r="B152" s="87" t="s">
        <v>80</v>
      </c>
      <c r="C152" s="88">
        <v>69110</v>
      </c>
      <c r="D152" s="88">
        <v>316940</v>
      </c>
      <c r="E152" s="88">
        <v>294460</v>
      </c>
      <c r="F152" s="88">
        <v>68743.100000000006</v>
      </c>
      <c r="G152" s="88">
        <v>68588.399999999994</v>
      </c>
      <c r="H152" s="11">
        <f t="shared" si="8"/>
        <v>-521.60000000000582</v>
      </c>
      <c r="I152" s="11">
        <f t="shared" ref="I152:I157" si="10">((G152/C152)*100)-100</f>
        <v>-0.75473882216756749</v>
      </c>
      <c r="J152" s="11">
        <f t="shared" si="7"/>
        <v>23.292943014331318</v>
      </c>
      <c r="K152" s="11">
        <f t="shared" si="9"/>
        <v>-225871.6</v>
      </c>
      <c r="L152" s="89"/>
    </row>
    <row r="153" spans="1:15" s="30" customFormat="1" x14ac:dyDescent="0.2">
      <c r="A153" s="27" t="s">
        <v>128</v>
      </c>
      <c r="B153" s="87" t="s">
        <v>36</v>
      </c>
      <c r="C153" s="88">
        <v>22599.200000000001</v>
      </c>
      <c r="D153" s="88">
        <v>47003</v>
      </c>
      <c r="E153" s="88">
        <v>47003</v>
      </c>
      <c r="F153" s="88">
        <v>24400.7</v>
      </c>
      <c r="G153" s="88">
        <v>24371.3</v>
      </c>
      <c r="H153" s="11">
        <f t="shared" si="8"/>
        <v>1772.0999999999985</v>
      </c>
      <c r="I153" s="11">
        <f t="shared" si="10"/>
        <v>7.8414280151509814</v>
      </c>
      <c r="J153" s="11">
        <f t="shared" si="7"/>
        <v>51.850520179563006</v>
      </c>
      <c r="K153" s="11">
        <f t="shared" si="9"/>
        <v>-22631.7</v>
      </c>
    </row>
    <row r="154" spans="1:15" s="30" customFormat="1" x14ac:dyDescent="0.2">
      <c r="A154" s="27" t="s">
        <v>127</v>
      </c>
      <c r="B154" s="87" t="s">
        <v>37</v>
      </c>
      <c r="C154" s="88">
        <v>162752.4</v>
      </c>
      <c r="D154" s="88">
        <v>223090.7</v>
      </c>
      <c r="E154" s="88">
        <v>223090.7</v>
      </c>
      <c r="F154" s="88">
        <v>97021.7</v>
      </c>
      <c r="G154" s="88">
        <v>74049.3</v>
      </c>
      <c r="H154" s="11">
        <f t="shared" si="8"/>
        <v>-88703.099999999991</v>
      </c>
      <c r="I154" s="11">
        <f t="shared" si="10"/>
        <v>-54.501869096861242</v>
      </c>
      <c r="J154" s="11">
        <f t="shared" si="7"/>
        <v>33.192463872317404</v>
      </c>
      <c r="K154" s="11">
        <f t="shared" si="9"/>
        <v>-149041.40000000002</v>
      </c>
    </row>
    <row r="155" spans="1:15" s="30" customFormat="1" ht="86.25" hidden="1" customHeight="1" x14ac:dyDescent="0.2">
      <c r="A155" s="27"/>
      <c r="B155" s="87"/>
      <c r="C155" s="88"/>
      <c r="D155" s="88"/>
      <c r="E155" s="88"/>
      <c r="F155" s="88"/>
      <c r="G155" s="88"/>
      <c r="H155" s="11">
        <f t="shared" si="8"/>
        <v>0</v>
      </c>
      <c r="I155" s="11" t="e">
        <f t="shared" si="10"/>
        <v>#DIV/0!</v>
      </c>
      <c r="J155" s="11"/>
      <c r="K155" s="11">
        <f t="shared" si="9"/>
        <v>0</v>
      </c>
    </row>
    <row r="156" spans="1:15" ht="60.75" hidden="1" customHeight="1" x14ac:dyDescent="0.2">
      <c r="A156" s="27"/>
      <c r="B156" s="33"/>
      <c r="C156" s="79"/>
      <c r="D156" s="79"/>
      <c r="E156" s="79"/>
      <c r="F156" s="79"/>
      <c r="G156" s="79"/>
      <c r="H156" s="11">
        <f t="shared" si="8"/>
        <v>0</v>
      </c>
      <c r="I156" s="11" t="e">
        <f t="shared" si="10"/>
        <v>#DIV/0!</v>
      </c>
      <c r="J156" s="11"/>
      <c r="K156" s="11">
        <f t="shared" si="9"/>
        <v>0</v>
      </c>
    </row>
    <row r="157" spans="1:15" ht="93.75" hidden="1" customHeight="1" x14ac:dyDescent="0.2">
      <c r="A157" s="80"/>
      <c r="B157" s="83"/>
      <c r="C157" s="79"/>
      <c r="D157" s="79"/>
      <c r="E157" s="79"/>
      <c r="F157" s="79"/>
      <c r="G157" s="79"/>
      <c r="H157" s="11">
        <f t="shared" si="8"/>
        <v>0</v>
      </c>
      <c r="I157" s="11" t="e">
        <f t="shared" si="10"/>
        <v>#DIV/0!</v>
      </c>
      <c r="J157" s="11" t="e">
        <f t="shared" si="7"/>
        <v>#DIV/0!</v>
      </c>
      <c r="K157" s="11">
        <f t="shared" si="9"/>
        <v>0</v>
      </c>
    </row>
    <row r="158" spans="1:15" ht="108.75" hidden="1" customHeight="1" x14ac:dyDescent="0.2">
      <c r="A158" s="80" t="s">
        <v>225</v>
      </c>
      <c r="B158" s="83" t="s">
        <v>226</v>
      </c>
      <c r="C158" s="79"/>
      <c r="D158" s="79"/>
      <c r="E158" s="79"/>
      <c r="F158" s="79"/>
      <c r="G158" s="79"/>
      <c r="H158" s="11">
        <f t="shared" si="8"/>
        <v>0</v>
      </c>
      <c r="I158" s="11"/>
      <c r="J158" s="11" t="e">
        <f t="shared" si="7"/>
        <v>#DIV/0!</v>
      </c>
      <c r="K158" s="11">
        <f t="shared" si="9"/>
        <v>0</v>
      </c>
    </row>
    <row r="159" spans="1:15" ht="50.25" customHeight="1" x14ac:dyDescent="0.2">
      <c r="A159" s="31"/>
      <c r="B159" s="90" t="s">
        <v>40</v>
      </c>
      <c r="C159" s="9">
        <f>C161+C162+C163+C164+C165+C166+C167+C168+C169+C170+C171+C172+C173+C177+C178+C179+C180+C181+C174+C175+C176</f>
        <v>131.69999999999999</v>
      </c>
      <c r="D159" s="9">
        <f>D161+D162+D163+D164+D165+D166+D167+D168+D169+D170+D171+D172+D173+D177+D178+D179+D180+D181+D174+D175+D176</f>
        <v>1106.0999999999999</v>
      </c>
      <c r="E159" s="9">
        <f>E161+E162+E163+E164+E165+E166+E167+E168+E169+E170+E171+E172+E173+E177+E178+E179+E180+E181+E174+E175+E176</f>
        <v>4623.0999999999995</v>
      </c>
      <c r="F159" s="9">
        <f>F161+F162+F163+F164+F165+F166+F167+F168+F169+F170+F171+F172+F173+F177+F178+F179+F180+F181+F174+F175+F176</f>
        <v>3018.8999999999996</v>
      </c>
      <c r="G159" s="9">
        <f>G161+G162+G163+G164+G165+G166+G167+G168+G169+G170+G171+G172+G173+G177+G178+G179+G180+G181+G174+G175+G176</f>
        <v>213.2</v>
      </c>
      <c r="H159" s="1">
        <f t="shared" si="8"/>
        <v>81.5</v>
      </c>
      <c r="I159" s="1">
        <f>((G159/C159)*100)-100</f>
        <v>61.883067577828399</v>
      </c>
      <c r="J159" s="1">
        <f>G159/E159*100</f>
        <v>4.6116242348207912</v>
      </c>
      <c r="K159" s="1">
        <f>G159-E159</f>
        <v>-4409.8999999999996</v>
      </c>
    </row>
    <row r="160" spans="1:15" x14ac:dyDescent="0.2">
      <c r="A160" s="58"/>
      <c r="B160" s="33" t="s">
        <v>24</v>
      </c>
      <c r="C160" s="6"/>
      <c r="D160" s="7"/>
      <c r="E160" s="7"/>
      <c r="F160" s="7"/>
      <c r="G160" s="6"/>
      <c r="H160" s="11">
        <f>G160-C160</f>
        <v>0</v>
      </c>
      <c r="I160" s="11"/>
      <c r="J160" s="11"/>
      <c r="K160" s="11">
        <f>G160-E160</f>
        <v>0</v>
      </c>
    </row>
    <row r="161" spans="1:11" ht="37.5" x14ac:dyDescent="0.2">
      <c r="A161" s="91">
        <v>1010</v>
      </c>
      <c r="B161" s="33" t="s">
        <v>201</v>
      </c>
      <c r="C161" s="6"/>
      <c r="D161" s="7"/>
      <c r="E161" s="7">
        <v>165</v>
      </c>
      <c r="F161" s="7">
        <v>165</v>
      </c>
      <c r="G161" s="6"/>
      <c r="H161" s="11">
        <f t="shared" si="8"/>
        <v>0</v>
      </c>
      <c r="I161" s="11"/>
      <c r="J161" s="11"/>
      <c r="K161" s="11">
        <f t="shared" si="9"/>
        <v>-165</v>
      </c>
    </row>
    <row r="162" spans="1:11" ht="51.6" customHeight="1" x14ac:dyDescent="0.2">
      <c r="A162" s="27" t="s">
        <v>113</v>
      </c>
      <c r="B162" s="92" t="s">
        <v>202</v>
      </c>
      <c r="C162" s="93"/>
      <c r="D162" s="94"/>
      <c r="E162" s="7">
        <v>50</v>
      </c>
      <c r="F162" s="7">
        <v>50</v>
      </c>
      <c r="G162" s="93"/>
      <c r="H162" s="11">
        <f t="shared" si="8"/>
        <v>0</v>
      </c>
      <c r="I162" s="11"/>
      <c r="J162" s="11"/>
      <c r="K162" s="11">
        <f t="shared" si="9"/>
        <v>-50</v>
      </c>
    </row>
    <row r="163" spans="1:11" ht="36" customHeight="1" x14ac:dyDescent="0.2">
      <c r="A163" s="27" t="s">
        <v>113</v>
      </c>
      <c r="B163" s="95" t="s">
        <v>90</v>
      </c>
      <c r="C163" s="79"/>
      <c r="D163" s="79"/>
      <c r="E163" s="79">
        <v>20</v>
      </c>
      <c r="F163" s="79">
        <v>20</v>
      </c>
      <c r="G163" s="79"/>
      <c r="H163" s="11">
        <f t="shared" si="8"/>
        <v>0</v>
      </c>
      <c r="I163" s="11"/>
      <c r="J163" s="11">
        <f t="shared" si="7"/>
        <v>0</v>
      </c>
      <c r="K163" s="11">
        <f t="shared" si="9"/>
        <v>-20</v>
      </c>
    </row>
    <row r="164" spans="1:11" ht="36" customHeight="1" x14ac:dyDescent="0.2">
      <c r="A164" s="27" t="s">
        <v>113</v>
      </c>
      <c r="B164" s="95" t="s">
        <v>203</v>
      </c>
      <c r="C164" s="79"/>
      <c r="D164" s="79"/>
      <c r="E164" s="79">
        <v>1000</v>
      </c>
      <c r="F164" s="79">
        <v>1000</v>
      </c>
      <c r="G164" s="79"/>
      <c r="H164" s="11">
        <f t="shared" si="8"/>
        <v>0</v>
      </c>
      <c r="I164" s="11"/>
      <c r="J164" s="11">
        <f t="shared" si="7"/>
        <v>0</v>
      </c>
      <c r="K164" s="11">
        <f t="shared" si="9"/>
        <v>-1000</v>
      </c>
    </row>
    <row r="165" spans="1:11" ht="37.5" hidden="1" customHeight="1" x14ac:dyDescent="0.2">
      <c r="A165" s="27" t="s">
        <v>113</v>
      </c>
      <c r="B165" s="95" t="s">
        <v>89</v>
      </c>
      <c r="C165" s="79"/>
      <c r="D165" s="79"/>
      <c r="E165" s="79"/>
      <c r="F165" s="79"/>
      <c r="G165" s="79"/>
      <c r="H165" s="11">
        <f t="shared" si="8"/>
        <v>0</v>
      </c>
      <c r="I165" s="11" t="e">
        <f>((G165/C165)*100)-100</f>
        <v>#DIV/0!</v>
      </c>
      <c r="J165" s="11" t="e">
        <f t="shared" si="7"/>
        <v>#DIV/0!</v>
      </c>
      <c r="K165" s="11">
        <f t="shared" si="9"/>
        <v>0</v>
      </c>
    </row>
    <row r="166" spans="1:11" ht="56.25" hidden="1" x14ac:dyDescent="0.2">
      <c r="A166" s="27" t="s">
        <v>160</v>
      </c>
      <c r="B166" s="45" t="s">
        <v>91</v>
      </c>
      <c r="C166" s="79"/>
      <c r="D166" s="79"/>
      <c r="E166" s="79"/>
      <c r="F166" s="79"/>
      <c r="G166" s="79"/>
      <c r="H166" s="11">
        <f t="shared" si="8"/>
        <v>0</v>
      </c>
      <c r="I166" s="11"/>
      <c r="J166" s="11" t="e">
        <f t="shared" si="7"/>
        <v>#DIV/0!</v>
      </c>
      <c r="K166" s="11">
        <f t="shared" si="9"/>
        <v>0</v>
      </c>
    </row>
    <row r="167" spans="1:11" ht="48.6" customHeight="1" x14ac:dyDescent="0.2">
      <c r="A167" s="27" t="s">
        <v>251</v>
      </c>
      <c r="B167" s="45" t="s">
        <v>204</v>
      </c>
      <c r="C167" s="96"/>
      <c r="D167" s="79"/>
      <c r="E167" s="96">
        <v>105</v>
      </c>
      <c r="F167" s="96">
        <v>105</v>
      </c>
      <c r="G167" s="96"/>
      <c r="H167" s="11">
        <f t="shared" si="8"/>
        <v>0</v>
      </c>
      <c r="I167" s="11"/>
      <c r="J167" s="11"/>
      <c r="K167" s="11">
        <f t="shared" si="9"/>
        <v>-105</v>
      </c>
    </row>
    <row r="168" spans="1:11" ht="56.25" hidden="1" x14ac:dyDescent="0.2">
      <c r="A168" s="27" t="s">
        <v>252</v>
      </c>
      <c r="B168" s="45" t="s">
        <v>84</v>
      </c>
      <c r="C168" s="96"/>
      <c r="D168" s="79"/>
      <c r="E168" s="96"/>
      <c r="F168" s="96"/>
      <c r="G168" s="96"/>
      <c r="H168" s="11">
        <f t="shared" si="8"/>
        <v>0</v>
      </c>
      <c r="I168" s="11"/>
      <c r="J168" s="11" t="e">
        <f t="shared" si="7"/>
        <v>#DIV/0!</v>
      </c>
      <c r="K168" s="11">
        <f t="shared" si="9"/>
        <v>0</v>
      </c>
    </row>
    <row r="169" spans="1:11" ht="45.75" customHeight="1" x14ac:dyDescent="0.2">
      <c r="A169" s="27" t="s">
        <v>251</v>
      </c>
      <c r="B169" s="45" t="s">
        <v>85</v>
      </c>
      <c r="C169" s="96"/>
      <c r="D169" s="79"/>
      <c r="E169" s="96">
        <v>90</v>
      </c>
      <c r="F169" s="96">
        <v>90</v>
      </c>
      <c r="G169" s="96"/>
      <c r="H169" s="11">
        <f t="shared" si="8"/>
        <v>0</v>
      </c>
      <c r="I169" s="11"/>
      <c r="J169" s="11">
        <f t="shared" si="7"/>
        <v>0</v>
      </c>
      <c r="K169" s="11">
        <f t="shared" si="9"/>
        <v>-90</v>
      </c>
    </row>
    <row r="170" spans="1:11" ht="56.25" hidden="1" customHeight="1" x14ac:dyDescent="0.2">
      <c r="A170" s="27" t="s">
        <v>160</v>
      </c>
      <c r="B170" s="45" t="s">
        <v>86</v>
      </c>
      <c r="C170" s="96"/>
      <c r="D170" s="79"/>
      <c r="E170" s="96"/>
      <c r="F170" s="96"/>
      <c r="G170" s="96"/>
      <c r="H170" s="11"/>
      <c r="I170" s="11"/>
      <c r="J170" s="11"/>
      <c r="K170" s="11">
        <f t="shared" si="9"/>
        <v>0</v>
      </c>
    </row>
    <row r="171" spans="1:11" s="30" customFormat="1" ht="112.5" x14ac:dyDescent="0.2">
      <c r="A171" s="31" t="s">
        <v>129</v>
      </c>
      <c r="B171" s="33" t="s">
        <v>227</v>
      </c>
      <c r="C171" s="17">
        <v>60.2</v>
      </c>
      <c r="D171" s="11">
        <v>579.9</v>
      </c>
      <c r="E171" s="11">
        <v>579.9</v>
      </c>
      <c r="F171" s="11">
        <v>144.5</v>
      </c>
      <c r="G171" s="17">
        <v>79.099999999999994</v>
      </c>
      <c r="H171" s="11">
        <f t="shared" si="8"/>
        <v>18.899999999999991</v>
      </c>
      <c r="I171" s="11">
        <f>((G171/C171)*100)-100</f>
        <v>31.395348837209298</v>
      </c>
      <c r="J171" s="11">
        <f t="shared" si="7"/>
        <v>13.640282807380583</v>
      </c>
      <c r="K171" s="11">
        <f t="shared" si="9"/>
        <v>-500.79999999999995</v>
      </c>
    </row>
    <row r="172" spans="1:11" ht="37.5" x14ac:dyDescent="0.2">
      <c r="A172" s="80" t="s">
        <v>117</v>
      </c>
      <c r="B172" s="97" t="s">
        <v>41</v>
      </c>
      <c r="C172" s="79">
        <v>5.4</v>
      </c>
      <c r="D172" s="79">
        <v>280</v>
      </c>
      <c r="E172" s="79">
        <v>280</v>
      </c>
      <c r="F172" s="79">
        <v>69.900000000000006</v>
      </c>
      <c r="G172" s="79">
        <v>48.4</v>
      </c>
      <c r="H172" s="11">
        <f t="shared" si="8"/>
        <v>43</v>
      </c>
      <c r="I172" s="11">
        <f>((G172/C172)*100)-100</f>
        <v>796.29629629629619</v>
      </c>
      <c r="J172" s="11">
        <f t="shared" si="7"/>
        <v>17.285714285714285</v>
      </c>
      <c r="K172" s="11">
        <f t="shared" si="9"/>
        <v>-231.6</v>
      </c>
    </row>
    <row r="173" spans="1:11" ht="84.75" customHeight="1" x14ac:dyDescent="0.2">
      <c r="A173" s="80" t="s">
        <v>118</v>
      </c>
      <c r="B173" s="98" t="s">
        <v>42</v>
      </c>
      <c r="C173" s="79">
        <v>36.4</v>
      </c>
      <c r="D173" s="79">
        <v>246.2</v>
      </c>
      <c r="E173" s="79">
        <v>246.2</v>
      </c>
      <c r="F173" s="79">
        <v>61.5</v>
      </c>
      <c r="G173" s="79">
        <v>34.4</v>
      </c>
      <c r="H173" s="11">
        <f t="shared" si="8"/>
        <v>-2</v>
      </c>
      <c r="I173" s="11">
        <f>((G173/C173)*100)-100</f>
        <v>-5.4945054945055034</v>
      </c>
      <c r="J173" s="11">
        <f t="shared" si="7"/>
        <v>13.97238017871649</v>
      </c>
      <c r="K173" s="11">
        <f t="shared" si="9"/>
        <v>-211.79999999999998</v>
      </c>
    </row>
    <row r="174" spans="1:11" ht="84.75" customHeight="1" x14ac:dyDescent="0.2">
      <c r="A174" s="80" t="s">
        <v>161</v>
      </c>
      <c r="B174" s="45" t="s">
        <v>244</v>
      </c>
      <c r="C174" s="79"/>
      <c r="D174" s="79"/>
      <c r="E174" s="79">
        <v>10</v>
      </c>
      <c r="F174" s="79">
        <v>10</v>
      </c>
      <c r="G174" s="79"/>
      <c r="H174" s="11">
        <f t="shared" si="8"/>
        <v>0</v>
      </c>
      <c r="I174" s="11"/>
      <c r="J174" s="11">
        <f t="shared" si="7"/>
        <v>0</v>
      </c>
      <c r="K174" s="11">
        <f t="shared" si="9"/>
        <v>-10</v>
      </c>
    </row>
    <row r="175" spans="1:11" ht="49.15" customHeight="1" x14ac:dyDescent="0.2">
      <c r="A175" s="80" t="s">
        <v>239</v>
      </c>
      <c r="B175" s="45" t="s">
        <v>250</v>
      </c>
      <c r="C175" s="79"/>
      <c r="D175" s="79"/>
      <c r="E175" s="79">
        <v>1000</v>
      </c>
      <c r="F175" s="79">
        <v>226</v>
      </c>
      <c r="G175" s="79"/>
      <c r="H175" s="11">
        <f t="shared" si="8"/>
        <v>0</v>
      </c>
      <c r="I175" s="11" t="e">
        <f>((G175/C175)*100)-100</f>
        <v>#DIV/0!</v>
      </c>
      <c r="J175" s="11"/>
      <c r="K175" s="11">
        <f t="shared" si="9"/>
        <v>-1000</v>
      </c>
    </row>
    <row r="176" spans="1:11" ht="49.15" customHeight="1" x14ac:dyDescent="0.2">
      <c r="A176" s="80" t="s">
        <v>155</v>
      </c>
      <c r="B176" s="98" t="s">
        <v>253</v>
      </c>
      <c r="C176" s="79"/>
      <c r="D176" s="79"/>
      <c r="E176" s="79">
        <v>608.70000000000005</v>
      </c>
      <c r="F176" s="79">
        <v>608.70000000000005</v>
      </c>
      <c r="G176" s="79"/>
      <c r="H176" s="11"/>
      <c r="I176" s="11"/>
      <c r="J176" s="11"/>
      <c r="K176" s="11">
        <f t="shared" si="9"/>
        <v>-608.70000000000005</v>
      </c>
    </row>
    <row r="177" spans="1:11" ht="37.5" x14ac:dyDescent="0.2">
      <c r="A177" s="80" t="s">
        <v>196</v>
      </c>
      <c r="B177" s="45" t="s">
        <v>228</v>
      </c>
      <c r="C177" s="79"/>
      <c r="D177" s="79"/>
      <c r="E177" s="79">
        <v>164.1</v>
      </c>
      <c r="F177" s="79">
        <v>164.1</v>
      </c>
      <c r="G177" s="79"/>
      <c r="H177" s="11">
        <f t="shared" si="8"/>
        <v>0</v>
      </c>
      <c r="I177" s="11"/>
      <c r="J177" s="11"/>
      <c r="K177" s="11">
        <f t="shared" si="9"/>
        <v>-164.1</v>
      </c>
    </row>
    <row r="178" spans="1:11" ht="37.5" x14ac:dyDescent="0.2">
      <c r="A178" s="80" t="s">
        <v>196</v>
      </c>
      <c r="B178" s="45" t="s">
        <v>229</v>
      </c>
      <c r="C178" s="79">
        <v>29.7</v>
      </c>
      <c r="D178" s="9"/>
      <c r="E178" s="79">
        <v>164.2</v>
      </c>
      <c r="F178" s="79">
        <v>164.2</v>
      </c>
      <c r="G178" s="79">
        <v>51.3</v>
      </c>
      <c r="H178" s="11">
        <f t="shared" si="8"/>
        <v>21.599999999999998</v>
      </c>
      <c r="I178" s="11">
        <f>((G178/C178)*100)-100</f>
        <v>72.72727272727272</v>
      </c>
      <c r="J178" s="11">
        <f t="shared" si="7"/>
        <v>31.242387332521314</v>
      </c>
      <c r="K178" s="11">
        <f t="shared" si="9"/>
        <v>-112.89999999999999</v>
      </c>
    </row>
    <row r="179" spans="1:11" ht="40.15" customHeight="1" x14ac:dyDescent="0.2">
      <c r="A179" s="80" t="s">
        <v>196</v>
      </c>
      <c r="B179" s="45" t="s">
        <v>230</v>
      </c>
      <c r="C179" s="79"/>
      <c r="D179" s="9"/>
      <c r="E179" s="79">
        <v>140</v>
      </c>
      <c r="F179" s="79">
        <v>140</v>
      </c>
      <c r="G179" s="79"/>
      <c r="H179" s="11">
        <f>G179-C179</f>
        <v>0</v>
      </c>
      <c r="I179" s="11"/>
      <c r="J179" s="11">
        <f>G179/E179*100</f>
        <v>0</v>
      </c>
      <c r="K179" s="11">
        <f>G179-E179</f>
        <v>-140</v>
      </c>
    </row>
    <row r="180" spans="1:11" ht="37.5" hidden="1" x14ac:dyDescent="0.2">
      <c r="A180" s="80" t="s">
        <v>119</v>
      </c>
      <c r="B180" s="45" t="s">
        <v>231</v>
      </c>
      <c r="C180" s="79"/>
      <c r="D180" s="9"/>
      <c r="E180" s="79"/>
      <c r="F180" s="79"/>
      <c r="G180" s="79"/>
      <c r="H180" s="11">
        <f>G180-C180</f>
        <v>0</v>
      </c>
      <c r="I180" s="11"/>
      <c r="J180" s="11" t="e">
        <f>G180/E180*100</f>
        <v>#DIV/0!</v>
      </c>
      <c r="K180" s="11">
        <f>G180-E180</f>
        <v>0</v>
      </c>
    </row>
    <row r="181" spans="1:11" ht="132.6" hidden="1" customHeight="1" x14ac:dyDescent="0.2">
      <c r="A181" s="80" t="s">
        <v>199</v>
      </c>
      <c r="B181" s="45" t="s">
        <v>232</v>
      </c>
      <c r="C181" s="79"/>
      <c r="D181" s="9"/>
      <c r="E181" s="79"/>
      <c r="F181" s="79"/>
      <c r="G181" s="79"/>
      <c r="H181" s="11">
        <f>G181-C181</f>
        <v>0</v>
      </c>
      <c r="I181" s="11"/>
      <c r="J181" s="11" t="e">
        <f>G181/E181*100</f>
        <v>#DIV/0!</v>
      </c>
      <c r="K181" s="11">
        <f>G181-E181</f>
        <v>0</v>
      </c>
    </row>
    <row r="182" spans="1:11" ht="42.75" customHeight="1" x14ac:dyDescent="0.2">
      <c r="A182" s="139" t="s">
        <v>43</v>
      </c>
      <c r="B182" s="139"/>
      <c r="C182" s="9">
        <f>C141+C144+C159</f>
        <v>588396.19999999995</v>
      </c>
      <c r="D182" s="9">
        <f>D141+D144+D159</f>
        <v>2294478.3000000003</v>
      </c>
      <c r="E182" s="9">
        <f>E141+E144+E159</f>
        <v>2278912.9</v>
      </c>
      <c r="F182" s="9">
        <f>F141+F144+F159</f>
        <v>752755</v>
      </c>
      <c r="G182" s="9">
        <f>G141+G144+G159</f>
        <v>584558.39999999991</v>
      </c>
      <c r="H182" s="11">
        <f t="shared" si="8"/>
        <v>-3837.8000000000466</v>
      </c>
      <c r="I182" s="11">
        <f>((G182/C182)*100)-100</f>
        <v>-0.65224758419583395</v>
      </c>
      <c r="J182" s="11">
        <f t="shared" si="7"/>
        <v>25.650756551511904</v>
      </c>
      <c r="K182" s="11">
        <f t="shared" si="9"/>
        <v>-1694354.5</v>
      </c>
    </row>
    <row r="183" spans="1:11" ht="32.25" customHeight="1" x14ac:dyDescent="0.2">
      <c r="A183" s="140" t="s">
        <v>44</v>
      </c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</row>
    <row r="184" spans="1:11" ht="30.75" customHeight="1" x14ac:dyDescent="0.2">
      <c r="A184" s="80" t="s">
        <v>131</v>
      </c>
      <c r="B184" s="99" t="s">
        <v>102</v>
      </c>
      <c r="C184" s="9">
        <v>117.4</v>
      </c>
      <c r="D184" s="9">
        <v>4720</v>
      </c>
      <c r="E184" s="9">
        <v>5169.8999999999996</v>
      </c>
      <c r="F184" s="9">
        <v>2900.9</v>
      </c>
      <c r="G184" s="9">
        <v>643.6</v>
      </c>
      <c r="H184" s="9">
        <f>G184-C184</f>
        <v>526.20000000000005</v>
      </c>
      <c r="I184" s="9">
        <f>((G184/C184)*100)-100</f>
        <v>448.21124361158434</v>
      </c>
      <c r="J184" s="9">
        <f>G184/E184*100</f>
        <v>12.448983539333451</v>
      </c>
      <c r="K184" s="11">
        <f>G184-E184</f>
        <v>-4526.2999999999993</v>
      </c>
    </row>
    <row r="185" spans="1:11" ht="36" customHeight="1" x14ac:dyDescent="0.2">
      <c r="A185" s="80" t="s">
        <v>101</v>
      </c>
      <c r="B185" s="100" t="s">
        <v>112</v>
      </c>
      <c r="C185" s="9">
        <f>SUM(C189:C189)</f>
        <v>0</v>
      </c>
      <c r="D185" s="9">
        <v>6500</v>
      </c>
      <c r="E185" s="9">
        <v>6699.8</v>
      </c>
      <c r="F185" s="9">
        <v>1699.8</v>
      </c>
      <c r="G185" s="9">
        <v>199.8</v>
      </c>
      <c r="H185" s="9">
        <f t="shared" ref="H185:H248" si="11">G185-C185</f>
        <v>199.8</v>
      </c>
      <c r="I185" s="9"/>
      <c r="J185" s="9">
        <f t="shared" ref="J185:J248" si="12">G185/E185*100</f>
        <v>2.9821785724947016</v>
      </c>
      <c r="K185" s="11">
        <f t="shared" ref="K185:K248" si="13">G185-E185</f>
        <v>-6500</v>
      </c>
    </row>
    <row r="186" spans="1:11" ht="20.25" hidden="1" customHeight="1" x14ac:dyDescent="0.2">
      <c r="A186" s="101"/>
      <c r="B186" s="35" t="s">
        <v>3</v>
      </c>
      <c r="C186" s="7"/>
      <c r="D186" s="7"/>
      <c r="E186" s="7"/>
      <c r="F186" s="7"/>
      <c r="G186" s="7"/>
      <c r="H186" s="9">
        <f t="shared" si="11"/>
        <v>0</v>
      </c>
      <c r="I186" s="9" t="e">
        <f t="shared" ref="I186:I242" si="14">((G186/C186)*100)-100</f>
        <v>#DIV/0!</v>
      </c>
      <c r="J186" s="9" t="e">
        <f t="shared" si="12"/>
        <v>#DIV/0!</v>
      </c>
      <c r="K186" s="11">
        <f t="shared" si="13"/>
        <v>0</v>
      </c>
    </row>
    <row r="187" spans="1:11" ht="98.25" hidden="1" customHeight="1" x14ac:dyDescent="0.2">
      <c r="A187" s="101"/>
      <c r="B187" s="36" t="s">
        <v>95</v>
      </c>
      <c r="C187" s="7"/>
      <c r="D187" s="7"/>
      <c r="E187" s="7"/>
      <c r="F187" s="7"/>
      <c r="G187" s="7"/>
      <c r="H187" s="9">
        <f t="shared" si="11"/>
        <v>0</v>
      </c>
      <c r="I187" s="9" t="e">
        <f t="shared" si="14"/>
        <v>#DIV/0!</v>
      </c>
      <c r="J187" s="9" t="e">
        <f t="shared" si="12"/>
        <v>#DIV/0!</v>
      </c>
      <c r="K187" s="11">
        <f t="shared" si="13"/>
        <v>0</v>
      </c>
    </row>
    <row r="188" spans="1:11" ht="57.75" hidden="1" customHeight="1" x14ac:dyDescent="0.2">
      <c r="A188" s="101"/>
      <c r="B188" s="33" t="s">
        <v>45</v>
      </c>
      <c r="C188" s="7"/>
      <c r="D188" s="7"/>
      <c r="E188" s="7"/>
      <c r="F188" s="7"/>
      <c r="G188" s="7"/>
      <c r="H188" s="9">
        <f t="shared" si="11"/>
        <v>0</v>
      </c>
      <c r="I188" s="9" t="e">
        <f t="shared" si="14"/>
        <v>#DIV/0!</v>
      </c>
      <c r="J188" s="9" t="e">
        <f t="shared" si="12"/>
        <v>#DIV/0!</v>
      </c>
      <c r="K188" s="11">
        <f t="shared" si="13"/>
        <v>0</v>
      </c>
    </row>
    <row r="189" spans="1:11" ht="22.5" hidden="1" customHeight="1" x14ac:dyDescent="0.2">
      <c r="A189" s="101"/>
      <c r="B189" s="33" t="s">
        <v>233</v>
      </c>
      <c r="C189" s="7"/>
      <c r="D189" s="7"/>
      <c r="E189" s="7"/>
      <c r="F189" s="7"/>
      <c r="G189" s="7"/>
      <c r="H189" s="9">
        <f t="shared" si="11"/>
        <v>0</v>
      </c>
      <c r="I189" s="9" t="e">
        <f t="shared" si="14"/>
        <v>#DIV/0!</v>
      </c>
      <c r="J189" s="9" t="e">
        <f t="shared" si="12"/>
        <v>#DIV/0!</v>
      </c>
      <c r="K189" s="11">
        <f t="shared" si="13"/>
        <v>0</v>
      </c>
    </row>
    <row r="190" spans="1:11" s="103" customFormat="1" x14ac:dyDescent="0.2">
      <c r="A190" s="102" t="s">
        <v>100</v>
      </c>
      <c r="B190" s="100" t="s">
        <v>6</v>
      </c>
      <c r="C190" s="9">
        <v>2669.9</v>
      </c>
      <c r="D190" s="9">
        <v>55468</v>
      </c>
      <c r="E190" s="9">
        <f>52552.3+6</f>
        <v>52558.3</v>
      </c>
      <c r="F190" s="9">
        <f>6+29521.5</f>
        <v>29527.5</v>
      </c>
      <c r="G190" s="9">
        <f>18681.391+6</f>
        <v>18687.391</v>
      </c>
      <c r="H190" s="9">
        <f t="shared" si="11"/>
        <v>16017.491</v>
      </c>
      <c r="I190" s="9">
        <f t="shared" si="14"/>
        <v>599.92849919472633</v>
      </c>
      <c r="J190" s="9">
        <f t="shared" si="12"/>
        <v>35.555546887932067</v>
      </c>
      <c r="K190" s="11">
        <f t="shared" si="13"/>
        <v>-33870.909</v>
      </c>
    </row>
    <row r="191" spans="1:11" x14ac:dyDescent="0.2">
      <c r="A191" s="31"/>
      <c r="B191" s="35" t="s">
        <v>3</v>
      </c>
      <c r="C191" s="7"/>
      <c r="D191" s="7"/>
      <c r="E191" s="7"/>
      <c r="F191" s="7"/>
      <c r="G191" s="7"/>
      <c r="H191" s="9">
        <f t="shared" si="11"/>
        <v>0</v>
      </c>
      <c r="I191" s="9"/>
      <c r="J191" s="9"/>
      <c r="K191" s="11">
        <f t="shared" si="13"/>
        <v>0</v>
      </c>
    </row>
    <row r="192" spans="1:11" ht="75" x14ac:dyDescent="0.2">
      <c r="A192" s="31"/>
      <c r="B192" s="32" t="s">
        <v>78</v>
      </c>
      <c r="C192" s="7">
        <v>69.3</v>
      </c>
      <c r="D192" s="7"/>
      <c r="E192" s="7">
        <v>6</v>
      </c>
      <c r="F192" s="7">
        <v>6</v>
      </c>
      <c r="G192" s="7">
        <v>6</v>
      </c>
      <c r="H192" s="9">
        <f t="shared" si="11"/>
        <v>-63.3</v>
      </c>
      <c r="I192" s="9">
        <f t="shared" si="14"/>
        <v>-91.341991341991346</v>
      </c>
      <c r="J192" s="9">
        <f t="shared" si="12"/>
        <v>100</v>
      </c>
      <c r="K192" s="11">
        <f t="shared" si="13"/>
        <v>0</v>
      </c>
    </row>
    <row r="193" spans="1:11" ht="98.25" hidden="1" customHeight="1" x14ac:dyDescent="0.2">
      <c r="A193" s="31"/>
      <c r="B193" s="36" t="s">
        <v>95</v>
      </c>
      <c r="C193" s="7"/>
      <c r="D193" s="7"/>
      <c r="E193" s="7"/>
      <c r="F193" s="7"/>
      <c r="G193" s="7"/>
      <c r="H193" s="9">
        <f t="shared" si="11"/>
        <v>0</v>
      </c>
      <c r="I193" s="9" t="e">
        <f t="shared" si="14"/>
        <v>#DIV/0!</v>
      </c>
      <c r="J193" s="9" t="e">
        <f t="shared" si="12"/>
        <v>#DIV/0!</v>
      </c>
      <c r="K193" s="11">
        <f t="shared" si="13"/>
        <v>0</v>
      </c>
    </row>
    <row r="194" spans="1:11" s="103" customFormat="1" ht="43.5" customHeight="1" x14ac:dyDescent="0.2">
      <c r="A194" s="102" t="s">
        <v>103</v>
      </c>
      <c r="B194" s="100" t="s">
        <v>9</v>
      </c>
      <c r="C194" s="9">
        <v>124.3</v>
      </c>
      <c r="D194" s="9">
        <v>35344</v>
      </c>
      <c r="E194" s="9">
        <v>35344</v>
      </c>
      <c r="F194" s="9">
        <v>12875</v>
      </c>
      <c r="G194" s="9">
        <v>914.8</v>
      </c>
      <c r="H194" s="9">
        <f t="shared" si="11"/>
        <v>790.5</v>
      </c>
      <c r="I194" s="9">
        <f t="shared" si="14"/>
        <v>635.96138374899431</v>
      </c>
      <c r="J194" s="9">
        <f t="shared" si="12"/>
        <v>2.5882752376641012</v>
      </c>
      <c r="K194" s="11">
        <f t="shared" si="13"/>
        <v>-34429.199999999997</v>
      </c>
    </row>
    <row r="195" spans="1:11" ht="87.75" hidden="1" customHeight="1" x14ac:dyDescent="0.2">
      <c r="A195" s="31"/>
      <c r="B195" s="32" t="s">
        <v>75</v>
      </c>
      <c r="C195" s="7"/>
      <c r="D195" s="7"/>
      <c r="E195" s="7"/>
      <c r="F195" s="7"/>
      <c r="G195" s="7"/>
      <c r="H195" s="9">
        <f t="shared" si="11"/>
        <v>0</v>
      </c>
      <c r="I195" s="9" t="e">
        <f t="shared" si="14"/>
        <v>#DIV/0!</v>
      </c>
      <c r="J195" s="9" t="e">
        <f t="shared" si="12"/>
        <v>#DIV/0!</v>
      </c>
      <c r="K195" s="11">
        <f t="shared" si="13"/>
        <v>0</v>
      </c>
    </row>
    <row r="196" spans="1:11" ht="37.5" x14ac:dyDescent="0.2">
      <c r="A196" s="102" t="s">
        <v>104</v>
      </c>
      <c r="B196" s="100" t="s">
        <v>105</v>
      </c>
      <c r="C196" s="1"/>
      <c r="D196" s="1">
        <v>1030</v>
      </c>
      <c r="E196" s="1">
        <v>1930</v>
      </c>
      <c r="F196" s="1">
        <v>990</v>
      </c>
      <c r="G196" s="1">
        <v>33.4</v>
      </c>
      <c r="H196" s="9">
        <f t="shared" si="11"/>
        <v>33.4</v>
      </c>
      <c r="I196" s="9"/>
      <c r="J196" s="9">
        <f t="shared" si="12"/>
        <v>1.7305699481865284</v>
      </c>
      <c r="K196" s="11">
        <f t="shared" si="13"/>
        <v>-1896.6</v>
      </c>
    </row>
    <row r="197" spans="1:11" hidden="1" x14ac:dyDescent="0.2">
      <c r="A197" s="31"/>
      <c r="B197" s="35" t="s">
        <v>3</v>
      </c>
      <c r="C197" s="7"/>
      <c r="D197" s="7"/>
      <c r="E197" s="7"/>
      <c r="F197" s="7"/>
      <c r="G197" s="7"/>
      <c r="H197" s="9">
        <f t="shared" si="11"/>
        <v>0</v>
      </c>
      <c r="I197" s="9" t="e">
        <f t="shared" si="14"/>
        <v>#DIV/0!</v>
      </c>
      <c r="J197" s="9" t="e">
        <f t="shared" si="12"/>
        <v>#DIV/0!</v>
      </c>
      <c r="K197" s="11">
        <f t="shared" si="13"/>
        <v>0</v>
      </c>
    </row>
    <row r="198" spans="1:11" ht="75" hidden="1" customHeight="1" x14ac:dyDescent="0.2">
      <c r="A198" s="31"/>
      <c r="B198" s="32" t="s">
        <v>74</v>
      </c>
      <c r="C198" s="7"/>
      <c r="D198" s="7"/>
      <c r="E198" s="7"/>
      <c r="F198" s="7"/>
      <c r="G198" s="7"/>
      <c r="H198" s="9">
        <f t="shared" si="11"/>
        <v>0</v>
      </c>
      <c r="I198" s="9" t="e">
        <f t="shared" si="14"/>
        <v>#DIV/0!</v>
      </c>
      <c r="J198" s="9" t="e">
        <f t="shared" si="12"/>
        <v>#DIV/0!</v>
      </c>
      <c r="K198" s="11">
        <f t="shared" si="13"/>
        <v>0</v>
      </c>
    </row>
    <row r="199" spans="1:11" s="42" customFormat="1" ht="37.5" customHeight="1" x14ac:dyDescent="0.2">
      <c r="A199" s="102" t="s">
        <v>106</v>
      </c>
      <c r="B199" s="100" t="s">
        <v>107</v>
      </c>
      <c r="C199" s="104">
        <v>1107.0999999999999</v>
      </c>
      <c r="D199" s="104">
        <v>11547</v>
      </c>
      <c r="E199" s="104">
        <v>12207</v>
      </c>
      <c r="F199" s="104">
        <v>5110</v>
      </c>
      <c r="G199" s="104">
        <v>787.7</v>
      </c>
      <c r="H199" s="9">
        <f t="shared" si="11"/>
        <v>-319.39999999999986</v>
      </c>
      <c r="I199" s="9">
        <f t="shared" si="14"/>
        <v>-28.850149038027268</v>
      </c>
      <c r="J199" s="9">
        <f t="shared" si="12"/>
        <v>6.452854919308594</v>
      </c>
      <c r="K199" s="11">
        <f t="shared" si="13"/>
        <v>-11419.3</v>
      </c>
    </row>
    <row r="200" spans="1:11" s="42" customFormat="1" ht="24" hidden="1" customHeight="1" x14ac:dyDescent="0.2">
      <c r="A200" s="31"/>
      <c r="B200" s="35" t="s">
        <v>3</v>
      </c>
      <c r="C200" s="7"/>
      <c r="D200" s="41"/>
      <c r="E200" s="7"/>
      <c r="F200" s="7"/>
      <c r="G200" s="7"/>
      <c r="H200" s="9">
        <f t="shared" si="11"/>
        <v>0</v>
      </c>
      <c r="I200" s="9" t="e">
        <f t="shared" si="14"/>
        <v>#DIV/0!</v>
      </c>
      <c r="J200" s="9" t="e">
        <f t="shared" si="12"/>
        <v>#DIV/0!</v>
      </c>
      <c r="K200" s="11">
        <f t="shared" si="13"/>
        <v>0</v>
      </c>
    </row>
    <row r="201" spans="1:11" s="42" customFormat="1" ht="45" hidden="1" customHeight="1" x14ac:dyDescent="0.2">
      <c r="A201" s="31"/>
      <c r="B201" s="32" t="s">
        <v>71</v>
      </c>
      <c r="C201" s="7"/>
      <c r="D201" s="41"/>
      <c r="E201" s="7"/>
      <c r="F201" s="7"/>
      <c r="G201" s="7"/>
      <c r="H201" s="9">
        <f t="shared" si="11"/>
        <v>0</v>
      </c>
      <c r="I201" s="9" t="e">
        <f t="shared" si="14"/>
        <v>#DIV/0!</v>
      </c>
      <c r="J201" s="9" t="e">
        <f t="shared" si="12"/>
        <v>#DIV/0!</v>
      </c>
      <c r="K201" s="11">
        <f t="shared" si="13"/>
        <v>0</v>
      </c>
    </row>
    <row r="202" spans="1:11" s="42" customFormat="1" ht="99" hidden="1" customHeight="1" x14ac:dyDescent="0.2">
      <c r="A202" s="31"/>
      <c r="B202" s="36" t="s">
        <v>95</v>
      </c>
      <c r="C202" s="7"/>
      <c r="D202" s="41"/>
      <c r="E202" s="7"/>
      <c r="F202" s="7"/>
      <c r="G202" s="7"/>
      <c r="H202" s="9">
        <f t="shared" si="11"/>
        <v>0</v>
      </c>
      <c r="I202" s="9" t="e">
        <f t="shared" si="14"/>
        <v>#DIV/0!</v>
      </c>
      <c r="J202" s="9" t="e">
        <f t="shared" si="12"/>
        <v>#DIV/0!</v>
      </c>
      <c r="K202" s="11">
        <f t="shared" si="13"/>
        <v>0</v>
      </c>
    </row>
    <row r="203" spans="1:11" s="42" customFormat="1" ht="87" hidden="1" customHeight="1" x14ac:dyDescent="0.2">
      <c r="A203" s="31"/>
      <c r="B203" s="32" t="s">
        <v>54</v>
      </c>
      <c r="C203" s="7"/>
      <c r="D203" s="41"/>
      <c r="E203" s="7"/>
      <c r="F203" s="7"/>
      <c r="G203" s="7"/>
      <c r="H203" s="9">
        <f t="shared" si="11"/>
        <v>0</v>
      </c>
      <c r="I203" s="9" t="e">
        <f t="shared" si="14"/>
        <v>#DIV/0!</v>
      </c>
      <c r="J203" s="9" t="e">
        <f t="shared" si="12"/>
        <v>#DIV/0!</v>
      </c>
      <c r="K203" s="11">
        <f t="shared" si="13"/>
        <v>0</v>
      </c>
    </row>
    <row r="204" spans="1:11" ht="38.25" customHeight="1" x14ac:dyDescent="0.2">
      <c r="A204" s="39" t="s">
        <v>108</v>
      </c>
      <c r="B204" s="105" t="s">
        <v>23</v>
      </c>
      <c r="C204" s="9">
        <v>0</v>
      </c>
      <c r="D204" s="9">
        <v>1236</v>
      </c>
      <c r="E204" s="9">
        <v>2286</v>
      </c>
      <c r="F204" s="9">
        <v>836</v>
      </c>
      <c r="G204" s="9"/>
      <c r="H204" s="9">
        <f t="shared" si="11"/>
        <v>0</v>
      </c>
      <c r="I204" s="9"/>
      <c r="J204" s="9">
        <f t="shared" si="12"/>
        <v>0</v>
      </c>
      <c r="K204" s="11">
        <f t="shared" si="13"/>
        <v>-2286</v>
      </c>
    </row>
    <row r="205" spans="1:11" ht="18.75" hidden="1" customHeight="1" x14ac:dyDescent="0.2">
      <c r="A205" s="39"/>
      <c r="B205" s="35" t="s">
        <v>3</v>
      </c>
      <c r="C205" s="9"/>
      <c r="D205" s="9"/>
      <c r="E205" s="9"/>
      <c r="F205" s="9"/>
      <c r="G205" s="9"/>
      <c r="H205" s="9">
        <f t="shared" si="11"/>
        <v>0</v>
      </c>
      <c r="I205" s="9" t="e">
        <f t="shared" si="14"/>
        <v>#DIV/0!</v>
      </c>
      <c r="J205" s="9" t="e">
        <f t="shared" si="12"/>
        <v>#DIV/0!</v>
      </c>
      <c r="K205" s="11">
        <f t="shared" si="13"/>
        <v>0</v>
      </c>
    </row>
    <row r="206" spans="1:11" ht="45" hidden="1" customHeight="1" x14ac:dyDescent="0.2">
      <c r="A206" s="39"/>
      <c r="B206" s="106" t="s">
        <v>77</v>
      </c>
      <c r="C206" s="11">
        <v>0</v>
      </c>
      <c r="D206" s="11"/>
      <c r="E206" s="11"/>
      <c r="F206" s="11"/>
      <c r="G206" s="11"/>
      <c r="H206" s="9">
        <f t="shared" si="11"/>
        <v>0</v>
      </c>
      <c r="I206" s="9" t="e">
        <f t="shared" si="14"/>
        <v>#DIV/0!</v>
      </c>
      <c r="J206" s="9" t="e">
        <f t="shared" si="12"/>
        <v>#DIV/0!</v>
      </c>
      <c r="K206" s="11">
        <f t="shared" si="13"/>
        <v>0</v>
      </c>
    </row>
    <row r="207" spans="1:11" ht="82.5" hidden="1" customHeight="1" x14ac:dyDescent="0.2">
      <c r="A207" s="39"/>
      <c r="B207" s="32" t="s">
        <v>73</v>
      </c>
      <c r="C207" s="11"/>
      <c r="D207" s="11"/>
      <c r="E207" s="11"/>
      <c r="F207" s="11"/>
      <c r="G207" s="11"/>
      <c r="H207" s="9">
        <f t="shared" si="11"/>
        <v>0</v>
      </c>
      <c r="I207" s="9" t="e">
        <f t="shared" si="14"/>
        <v>#DIV/0!</v>
      </c>
      <c r="J207" s="9" t="e">
        <f t="shared" si="12"/>
        <v>#DIV/0!</v>
      </c>
      <c r="K207" s="11">
        <f t="shared" si="13"/>
        <v>0</v>
      </c>
    </row>
    <row r="208" spans="1:11" s="42" customFormat="1" ht="49.5" customHeight="1" x14ac:dyDescent="0.2">
      <c r="A208" s="102" t="s">
        <v>109</v>
      </c>
      <c r="B208" s="100" t="s">
        <v>110</v>
      </c>
      <c r="C208" s="104">
        <f>12583.5-427</f>
        <v>12156.5</v>
      </c>
      <c r="D208" s="104">
        <v>284946</v>
      </c>
      <c r="E208" s="104">
        <f>11.01+285105.768+28.1+426.4</f>
        <v>285571.27799999999</v>
      </c>
      <c r="F208" s="104">
        <f>11.01+74341.643+28.1+426.4</f>
        <v>74807.152999999991</v>
      </c>
      <c r="G208" s="104">
        <f>18255.554+28.1+328.805</f>
        <v>18612.458999999999</v>
      </c>
      <c r="H208" s="9">
        <f t="shared" si="11"/>
        <v>6455.9589999999989</v>
      </c>
      <c r="I208" s="9">
        <f t="shared" si="14"/>
        <v>53.107053839509717</v>
      </c>
      <c r="J208" s="9">
        <f t="shared" si="12"/>
        <v>6.5176228962353839</v>
      </c>
      <c r="K208" s="11">
        <f t="shared" si="13"/>
        <v>-266958.81900000002</v>
      </c>
    </row>
    <row r="209" spans="1:15" s="42" customFormat="1" ht="24.75" customHeight="1" x14ac:dyDescent="0.2">
      <c r="A209" s="31"/>
      <c r="B209" s="35" t="s">
        <v>3</v>
      </c>
      <c r="C209" s="41"/>
      <c r="D209" s="41"/>
      <c r="E209" s="41"/>
      <c r="F209" s="41"/>
      <c r="G209" s="41"/>
      <c r="H209" s="9">
        <f t="shared" si="11"/>
        <v>0</v>
      </c>
      <c r="I209" s="9"/>
      <c r="J209" s="9"/>
      <c r="K209" s="11">
        <f t="shared" si="13"/>
        <v>0</v>
      </c>
    </row>
    <row r="210" spans="1:15" ht="105" customHeight="1" x14ac:dyDescent="0.2">
      <c r="A210" s="101"/>
      <c r="B210" s="32" t="s">
        <v>234</v>
      </c>
      <c r="C210" s="7"/>
      <c r="D210" s="7"/>
      <c r="E210" s="7">
        <v>11</v>
      </c>
      <c r="F210" s="7">
        <v>11</v>
      </c>
      <c r="G210" s="7"/>
      <c r="H210" s="9">
        <f t="shared" si="11"/>
        <v>0</v>
      </c>
      <c r="I210" s="9"/>
      <c r="J210" s="9">
        <f t="shared" si="12"/>
        <v>0</v>
      </c>
      <c r="K210" s="11">
        <f t="shared" si="13"/>
        <v>-11</v>
      </c>
    </row>
    <row r="211" spans="1:15" ht="79.900000000000006" customHeight="1" x14ac:dyDescent="0.2">
      <c r="A211" s="31"/>
      <c r="B211" s="32" t="s">
        <v>235</v>
      </c>
      <c r="C211" s="7"/>
      <c r="D211" s="7"/>
      <c r="E211" s="7">
        <v>28.1</v>
      </c>
      <c r="F211" s="7">
        <v>28.1</v>
      </c>
      <c r="G211" s="7">
        <v>28.1</v>
      </c>
      <c r="H211" s="9">
        <f t="shared" si="11"/>
        <v>28.1</v>
      </c>
      <c r="I211" s="9"/>
      <c r="J211" s="9">
        <f t="shared" si="12"/>
        <v>100</v>
      </c>
      <c r="K211" s="11">
        <f t="shared" si="13"/>
        <v>0</v>
      </c>
    </row>
    <row r="212" spans="1:15" s="42" customFormat="1" ht="99" customHeight="1" x14ac:dyDescent="0.2">
      <c r="A212" s="101"/>
      <c r="B212" s="36" t="s">
        <v>95</v>
      </c>
      <c r="C212" s="7"/>
      <c r="D212" s="41"/>
      <c r="E212" s="7">
        <v>426.4</v>
      </c>
      <c r="F212" s="7">
        <v>426.4</v>
      </c>
      <c r="G212" s="7">
        <v>328.8</v>
      </c>
      <c r="H212" s="9">
        <f t="shared" si="11"/>
        <v>328.8</v>
      </c>
      <c r="I212" s="9"/>
      <c r="J212" s="9">
        <f t="shared" si="12"/>
        <v>77.110694183864922</v>
      </c>
      <c r="K212" s="11">
        <f t="shared" si="13"/>
        <v>-97.599999999999966</v>
      </c>
    </row>
    <row r="213" spans="1:15" ht="38.25" customHeight="1" x14ac:dyDescent="0.2">
      <c r="A213" s="39" t="s">
        <v>132</v>
      </c>
      <c r="B213" s="107" t="s">
        <v>133</v>
      </c>
      <c r="C213" s="1">
        <f>41019.2-35.6</f>
        <v>40983.599999999999</v>
      </c>
      <c r="D213" s="1">
        <v>619184</v>
      </c>
      <c r="E213" s="1">
        <f>681995.855+48.49</f>
        <v>682044.34499999997</v>
      </c>
      <c r="F213" s="1">
        <f>48.49+194190.322</f>
        <v>194238.81199999998</v>
      </c>
      <c r="G213" s="1">
        <f>48.489+14314.162-1.5</f>
        <v>14361.151</v>
      </c>
      <c r="H213" s="9">
        <f>G213-C213</f>
        <v>-26622.449000000001</v>
      </c>
      <c r="I213" s="9">
        <f>((G213/C213)*100)-100</f>
        <v>-64.958785953405751</v>
      </c>
      <c r="J213" s="9">
        <f>G213/E213*100</f>
        <v>2.1056037052840018</v>
      </c>
      <c r="K213" s="11">
        <f>G213-E213</f>
        <v>-667683.19400000002</v>
      </c>
    </row>
    <row r="214" spans="1:15" ht="98.25" hidden="1" customHeight="1" x14ac:dyDescent="0.2">
      <c r="A214" s="29"/>
      <c r="B214" s="32" t="s">
        <v>264</v>
      </c>
      <c r="C214" s="11"/>
      <c r="D214" s="11"/>
      <c r="E214" s="11"/>
      <c r="F214" s="11"/>
      <c r="G214" s="9">
        <f>F214-C214</f>
        <v>0</v>
      </c>
      <c r="H214" s="9">
        <f t="shared" si="11"/>
        <v>0</v>
      </c>
      <c r="I214" s="9" t="e">
        <f t="shared" si="14"/>
        <v>#DIV/0!</v>
      </c>
      <c r="J214" s="9" t="e">
        <f t="shared" si="12"/>
        <v>#DIV/0!</v>
      </c>
      <c r="K214" s="11">
        <f t="shared" si="13"/>
        <v>0</v>
      </c>
      <c r="L214" s="3"/>
      <c r="M214" s="3"/>
      <c r="N214" s="3"/>
      <c r="O214" s="3"/>
    </row>
    <row r="215" spans="1:15" ht="45" hidden="1" customHeight="1" x14ac:dyDescent="0.2">
      <c r="A215" s="29"/>
      <c r="B215" s="32" t="s">
        <v>141</v>
      </c>
      <c r="C215" s="7"/>
      <c r="D215" s="7"/>
      <c r="E215" s="7"/>
      <c r="F215" s="7"/>
      <c r="G215" s="9">
        <f>F215-C215</f>
        <v>0</v>
      </c>
      <c r="H215" s="9">
        <f t="shared" si="11"/>
        <v>0</v>
      </c>
      <c r="I215" s="9" t="e">
        <f t="shared" si="14"/>
        <v>#DIV/0!</v>
      </c>
      <c r="J215" s="9" t="e">
        <f t="shared" si="12"/>
        <v>#DIV/0!</v>
      </c>
      <c r="K215" s="11">
        <f t="shared" si="13"/>
        <v>0</v>
      </c>
    </row>
    <row r="216" spans="1:15" ht="45" hidden="1" customHeight="1" x14ac:dyDescent="0.2">
      <c r="A216" s="39" t="s">
        <v>97</v>
      </c>
      <c r="B216" s="8" t="s">
        <v>96</v>
      </c>
      <c r="C216" s="11"/>
      <c r="D216" s="11"/>
      <c r="E216" s="11"/>
      <c r="F216" s="11"/>
      <c r="G216" s="9">
        <f>F216-C216</f>
        <v>0</v>
      </c>
      <c r="H216" s="9">
        <f t="shared" si="11"/>
        <v>0</v>
      </c>
      <c r="I216" s="9" t="e">
        <f t="shared" si="14"/>
        <v>#DIV/0!</v>
      </c>
      <c r="J216" s="9" t="e">
        <f t="shared" si="12"/>
        <v>#DIV/0!</v>
      </c>
      <c r="K216" s="11">
        <f t="shared" si="13"/>
        <v>0</v>
      </c>
    </row>
    <row r="217" spans="1:15" ht="95.25" hidden="1" customHeight="1" x14ac:dyDescent="0.2">
      <c r="A217" s="39" t="s">
        <v>46</v>
      </c>
      <c r="B217" s="8" t="s">
        <v>47</v>
      </c>
      <c r="C217" s="11"/>
      <c r="D217" s="11"/>
      <c r="E217" s="11"/>
      <c r="F217" s="11"/>
      <c r="G217" s="9">
        <f>F217-C217</f>
        <v>0</v>
      </c>
      <c r="H217" s="9">
        <f t="shared" si="11"/>
        <v>0</v>
      </c>
      <c r="I217" s="9" t="e">
        <f t="shared" si="14"/>
        <v>#DIV/0!</v>
      </c>
      <c r="J217" s="9" t="e">
        <f t="shared" si="12"/>
        <v>#DIV/0!</v>
      </c>
      <c r="K217" s="11">
        <f t="shared" si="13"/>
        <v>0</v>
      </c>
    </row>
    <row r="218" spans="1:15" s="4" customFormat="1" ht="95.25" customHeight="1" x14ac:dyDescent="0.2">
      <c r="A218" s="27" t="s">
        <v>263</v>
      </c>
      <c r="B218" s="107" t="s">
        <v>265</v>
      </c>
      <c r="C218" s="1"/>
      <c r="D218" s="1">
        <v>29600</v>
      </c>
      <c r="E218" s="1">
        <v>135920</v>
      </c>
      <c r="F218" s="1">
        <v>106420</v>
      </c>
      <c r="G218" s="1">
        <v>106315.2</v>
      </c>
      <c r="H218" s="9">
        <f t="shared" si="11"/>
        <v>106315.2</v>
      </c>
      <c r="I218" s="9"/>
      <c r="J218" s="9">
        <f t="shared" si="12"/>
        <v>78.218952324896989</v>
      </c>
      <c r="K218" s="11">
        <f t="shared" si="13"/>
        <v>-29604.800000000003</v>
      </c>
    </row>
    <row r="219" spans="1:15" ht="51" customHeight="1" x14ac:dyDescent="0.2">
      <c r="A219" s="27" t="s">
        <v>282</v>
      </c>
      <c r="B219" s="38" t="s">
        <v>134</v>
      </c>
      <c r="C219" s="9">
        <f>11100+85.9</f>
        <v>11185.9</v>
      </c>
      <c r="D219" s="9">
        <v>139110</v>
      </c>
      <c r="E219" s="9">
        <v>140357</v>
      </c>
      <c r="F219" s="9">
        <v>43505</v>
      </c>
      <c r="G219" s="9">
        <v>29924</v>
      </c>
      <c r="H219" s="9">
        <f t="shared" si="11"/>
        <v>18738.099999999999</v>
      </c>
      <c r="I219" s="9">
        <f t="shared" si="14"/>
        <v>167.51535415120821</v>
      </c>
      <c r="J219" s="9">
        <f t="shared" si="12"/>
        <v>21.319919918493554</v>
      </c>
      <c r="K219" s="11">
        <f t="shared" si="13"/>
        <v>-110433</v>
      </c>
    </row>
    <row r="220" spans="1:15" ht="22.5" customHeight="1" x14ac:dyDescent="0.2">
      <c r="A220" s="31"/>
      <c r="B220" s="33" t="s">
        <v>24</v>
      </c>
      <c r="C220" s="7"/>
      <c r="D220" s="7"/>
      <c r="E220" s="7"/>
      <c r="F220" s="7"/>
      <c r="G220" s="7"/>
      <c r="H220" s="9"/>
      <c r="I220" s="9"/>
      <c r="J220" s="9"/>
      <c r="K220" s="11"/>
    </row>
    <row r="221" spans="1:15" ht="54" customHeight="1" x14ac:dyDescent="0.2">
      <c r="A221" s="108">
        <v>7670</v>
      </c>
      <c r="B221" s="14" t="s">
        <v>111</v>
      </c>
      <c r="C221" s="11">
        <v>11100</v>
      </c>
      <c r="D221" s="11">
        <v>136000</v>
      </c>
      <c r="E221" s="11">
        <v>137247</v>
      </c>
      <c r="F221" s="11">
        <v>42855</v>
      </c>
      <c r="G221" s="11">
        <v>29906.3</v>
      </c>
      <c r="H221" s="9">
        <f t="shared" si="11"/>
        <v>18806.3</v>
      </c>
      <c r="I221" s="9">
        <f t="shared" si="14"/>
        <v>169.42612612612612</v>
      </c>
      <c r="J221" s="9">
        <f t="shared" si="12"/>
        <v>21.790130203210271</v>
      </c>
      <c r="K221" s="11">
        <f t="shared" si="13"/>
        <v>-107340.7</v>
      </c>
    </row>
    <row r="222" spans="1:15" s="4" customFormat="1" ht="231" customHeight="1" x14ac:dyDescent="0.2">
      <c r="A222" s="29" t="s">
        <v>139</v>
      </c>
      <c r="B222" s="109" t="s">
        <v>140</v>
      </c>
      <c r="C222" s="17">
        <v>85.9</v>
      </c>
      <c r="D222" s="11">
        <v>3110</v>
      </c>
      <c r="E222" s="11">
        <v>3110</v>
      </c>
      <c r="F222" s="11">
        <v>650</v>
      </c>
      <c r="G222" s="17">
        <v>17.7</v>
      </c>
      <c r="H222" s="9">
        <f t="shared" si="11"/>
        <v>-68.2</v>
      </c>
      <c r="I222" s="9">
        <f t="shared" si="14"/>
        <v>-79.394644935972067</v>
      </c>
      <c r="J222" s="9">
        <f t="shared" si="12"/>
        <v>0.56913183279742763</v>
      </c>
      <c r="K222" s="11">
        <f t="shared" si="13"/>
        <v>-3092.3</v>
      </c>
    </row>
    <row r="223" spans="1:15" s="4" customFormat="1" ht="37.9" customHeight="1" x14ac:dyDescent="0.2">
      <c r="A223" s="27" t="s">
        <v>266</v>
      </c>
      <c r="B223" s="110" t="s">
        <v>267</v>
      </c>
      <c r="C223" s="111"/>
      <c r="D223" s="1"/>
      <c r="E223" s="1">
        <v>38.5</v>
      </c>
      <c r="F223" s="111">
        <v>38.5</v>
      </c>
      <c r="G223" s="9">
        <v>38.4</v>
      </c>
      <c r="H223" s="9">
        <f t="shared" si="11"/>
        <v>38.4</v>
      </c>
      <c r="I223" s="9"/>
      <c r="J223" s="9">
        <f t="shared" si="12"/>
        <v>99.740259740259745</v>
      </c>
      <c r="K223" s="11">
        <f t="shared" si="13"/>
        <v>-0.10000000000000142</v>
      </c>
    </row>
    <row r="224" spans="1:15" s="4" customFormat="1" ht="19.899999999999999" hidden="1" customHeight="1" x14ac:dyDescent="0.2">
      <c r="A224" s="27"/>
      <c r="B224" s="33" t="s">
        <v>24</v>
      </c>
      <c r="C224" s="111"/>
      <c r="D224" s="1"/>
      <c r="E224" s="1"/>
      <c r="F224" s="111"/>
      <c r="G224" s="9"/>
      <c r="H224" s="9">
        <f t="shared" si="11"/>
        <v>0</v>
      </c>
      <c r="I224" s="9"/>
      <c r="J224" s="9" t="e">
        <f t="shared" si="12"/>
        <v>#DIV/0!</v>
      </c>
      <c r="K224" s="11">
        <f t="shared" si="13"/>
        <v>0</v>
      </c>
    </row>
    <row r="225" spans="1:16" s="4" customFormat="1" ht="81.599999999999994" hidden="1" customHeight="1" x14ac:dyDescent="0.2">
      <c r="A225" s="27"/>
      <c r="B225" s="32" t="s">
        <v>130</v>
      </c>
      <c r="C225" s="17"/>
      <c r="D225" s="11"/>
      <c r="E225" s="11"/>
      <c r="F225" s="17"/>
      <c r="G225" s="9"/>
      <c r="H225" s="9">
        <f t="shared" si="11"/>
        <v>0</v>
      </c>
      <c r="I225" s="9"/>
      <c r="J225" s="9" t="e">
        <f t="shared" si="12"/>
        <v>#DIV/0!</v>
      </c>
      <c r="K225" s="11">
        <f t="shared" si="13"/>
        <v>0</v>
      </c>
    </row>
    <row r="226" spans="1:16" s="4" customFormat="1" ht="37.9" customHeight="1" x14ac:dyDescent="0.2">
      <c r="A226" s="27" t="s">
        <v>268</v>
      </c>
      <c r="B226" s="110" t="s">
        <v>269</v>
      </c>
      <c r="C226" s="111"/>
      <c r="D226" s="1">
        <v>30</v>
      </c>
      <c r="E226" s="1">
        <v>46.654000000000003</v>
      </c>
      <c r="F226" s="111">
        <v>46.654000000000003</v>
      </c>
      <c r="G226" s="9">
        <v>29.957000000000001</v>
      </c>
      <c r="H226" s="9">
        <f t="shared" si="11"/>
        <v>29.957000000000001</v>
      </c>
      <c r="I226" s="9"/>
      <c r="J226" s="9">
        <f t="shared" si="12"/>
        <v>64.211000128606329</v>
      </c>
      <c r="K226" s="11">
        <f t="shared" si="13"/>
        <v>-16.697000000000003</v>
      </c>
    </row>
    <row r="227" spans="1:16" s="4" customFormat="1" ht="19.899999999999999" hidden="1" customHeight="1" x14ac:dyDescent="0.2">
      <c r="A227" s="27"/>
      <c r="B227" s="33" t="s">
        <v>24</v>
      </c>
      <c r="C227" s="111"/>
      <c r="D227" s="1"/>
      <c r="E227" s="1"/>
      <c r="F227" s="111"/>
      <c r="G227" s="9"/>
      <c r="H227" s="9">
        <f t="shared" si="11"/>
        <v>0</v>
      </c>
      <c r="I227" s="9"/>
      <c r="J227" s="9" t="e">
        <f t="shared" si="12"/>
        <v>#DIV/0!</v>
      </c>
      <c r="K227" s="11">
        <f t="shared" si="13"/>
        <v>0</v>
      </c>
    </row>
    <row r="228" spans="1:16" s="4" customFormat="1" ht="75" hidden="1" x14ac:dyDescent="0.2">
      <c r="A228" s="27"/>
      <c r="B228" s="32" t="s">
        <v>130</v>
      </c>
      <c r="C228" s="17"/>
      <c r="D228" s="11"/>
      <c r="E228" s="11"/>
      <c r="F228" s="17"/>
      <c r="G228" s="9"/>
      <c r="H228" s="9">
        <f t="shared" si="11"/>
        <v>0</v>
      </c>
      <c r="I228" s="9"/>
      <c r="J228" s="9" t="e">
        <f t="shared" si="12"/>
        <v>#DIV/0!</v>
      </c>
      <c r="K228" s="11">
        <f t="shared" si="13"/>
        <v>0</v>
      </c>
      <c r="L228" s="5"/>
      <c r="M228" s="5"/>
      <c r="N228" s="5"/>
      <c r="O228" s="5"/>
      <c r="P228" s="5"/>
    </row>
    <row r="229" spans="1:16" ht="42.75" customHeight="1" x14ac:dyDescent="0.2">
      <c r="A229" s="39" t="s">
        <v>135</v>
      </c>
      <c r="B229" s="107" t="s">
        <v>136</v>
      </c>
      <c r="C229" s="111"/>
      <c r="D229" s="1">
        <v>210</v>
      </c>
      <c r="E229" s="1">
        <v>210</v>
      </c>
      <c r="F229" s="1">
        <v>45</v>
      </c>
      <c r="G229" s="111"/>
      <c r="H229" s="9">
        <f t="shared" si="11"/>
        <v>0</v>
      </c>
      <c r="I229" s="9"/>
      <c r="J229" s="9">
        <f t="shared" si="12"/>
        <v>0</v>
      </c>
      <c r="K229" s="11">
        <f t="shared" si="13"/>
        <v>-210</v>
      </c>
    </row>
    <row r="230" spans="1:16" ht="98.25" customHeight="1" x14ac:dyDescent="0.2">
      <c r="A230" s="39" t="s">
        <v>137</v>
      </c>
      <c r="B230" s="48" t="s">
        <v>138</v>
      </c>
      <c r="C230" s="111">
        <v>12</v>
      </c>
      <c r="D230" s="111">
        <v>7000</v>
      </c>
      <c r="E230" s="111">
        <v>6498</v>
      </c>
      <c r="F230" s="111">
        <v>898</v>
      </c>
      <c r="G230" s="111">
        <v>700</v>
      </c>
      <c r="H230" s="9">
        <f t="shared" si="11"/>
        <v>688</v>
      </c>
      <c r="I230" s="9">
        <f t="shared" si="14"/>
        <v>5733.3333333333339</v>
      </c>
      <c r="J230" s="9">
        <f t="shared" si="12"/>
        <v>10.77254539858418</v>
      </c>
      <c r="K230" s="11">
        <f t="shared" si="13"/>
        <v>-5798</v>
      </c>
    </row>
    <row r="231" spans="1:16" ht="21" customHeight="1" x14ac:dyDescent="0.2">
      <c r="A231" s="39"/>
      <c r="B231" s="48" t="s">
        <v>24</v>
      </c>
      <c r="C231" s="6"/>
      <c r="D231" s="49"/>
      <c r="E231" s="6"/>
      <c r="F231" s="6"/>
      <c r="G231" s="6"/>
      <c r="H231" s="9">
        <f t="shared" si="11"/>
        <v>0</v>
      </c>
      <c r="I231" s="9"/>
      <c r="J231" s="9"/>
      <c r="K231" s="11">
        <f t="shared" si="13"/>
        <v>0</v>
      </c>
    </row>
    <row r="232" spans="1:16" ht="76.5" customHeight="1" x14ac:dyDescent="0.2">
      <c r="A232" s="39"/>
      <c r="B232" s="10" t="s">
        <v>142</v>
      </c>
      <c r="C232" s="6"/>
      <c r="D232" s="11">
        <v>2000</v>
      </c>
      <c r="E232" s="11">
        <v>2000</v>
      </c>
      <c r="F232" s="6"/>
      <c r="G232" s="12"/>
      <c r="H232" s="9">
        <f t="shared" si="11"/>
        <v>0</v>
      </c>
      <c r="I232" s="9"/>
      <c r="J232" s="9">
        <f t="shared" si="12"/>
        <v>0</v>
      </c>
      <c r="K232" s="11">
        <f t="shared" si="13"/>
        <v>-2000</v>
      </c>
    </row>
    <row r="233" spans="1:16" ht="42" customHeight="1" x14ac:dyDescent="0.2">
      <c r="A233" s="39"/>
      <c r="B233" s="10" t="s">
        <v>143</v>
      </c>
      <c r="C233" s="6"/>
      <c r="D233" s="11">
        <v>1000</v>
      </c>
      <c r="E233" s="11">
        <v>1000</v>
      </c>
      <c r="F233" s="13"/>
      <c r="G233" s="12"/>
      <c r="H233" s="9">
        <f t="shared" si="11"/>
        <v>0</v>
      </c>
      <c r="I233" s="9"/>
      <c r="J233" s="9">
        <f t="shared" si="12"/>
        <v>0</v>
      </c>
      <c r="K233" s="11">
        <f t="shared" si="13"/>
        <v>-1000</v>
      </c>
    </row>
    <row r="234" spans="1:16" ht="59.25" customHeight="1" x14ac:dyDescent="0.2">
      <c r="A234" s="39"/>
      <c r="B234" s="10" t="s">
        <v>144</v>
      </c>
      <c r="C234" s="6"/>
      <c r="D234" s="11">
        <v>1000</v>
      </c>
      <c r="E234" s="11">
        <f>1000000-1000000</f>
        <v>0</v>
      </c>
      <c r="F234" s="13"/>
      <c r="G234" s="12"/>
      <c r="H234" s="9">
        <f t="shared" si="11"/>
        <v>0</v>
      </c>
      <c r="I234" s="9"/>
      <c r="J234" s="9"/>
      <c r="K234" s="11">
        <f t="shared" si="13"/>
        <v>0</v>
      </c>
    </row>
    <row r="235" spans="1:16" ht="42" customHeight="1" x14ac:dyDescent="0.2">
      <c r="A235" s="39"/>
      <c r="B235" s="10" t="s">
        <v>145</v>
      </c>
      <c r="C235" s="6"/>
      <c r="D235" s="11">
        <v>2000</v>
      </c>
      <c r="E235" s="11">
        <v>2000</v>
      </c>
      <c r="F235" s="12">
        <v>400</v>
      </c>
      <c r="G235" s="12">
        <v>400</v>
      </c>
      <c r="H235" s="9">
        <f t="shared" si="11"/>
        <v>400</v>
      </c>
      <c r="I235" s="9"/>
      <c r="J235" s="9">
        <f t="shared" si="12"/>
        <v>20</v>
      </c>
      <c r="K235" s="11">
        <f t="shared" si="13"/>
        <v>-1600</v>
      </c>
    </row>
    <row r="236" spans="1:16" ht="42" customHeight="1" x14ac:dyDescent="0.2">
      <c r="A236" s="39"/>
      <c r="B236" s="10" t="s">
        <v>146</v>
      </c>
      <c r="C236" s="6"/>
      <c r="D236" s="11">
        <v>1000</v>
      </c>
      <c r="E236" s="11">
        <v>1000</v>
      </c>
      <c r="F236" s="12"/>
      <c r="G236" s="12"/>
      <c r="H236" s="9">
        <f t="shared" si="11"/>
        <v>0</v>
      </c>
      <c r="I236" s="9"/>
      <c r="J236" s="9">
        <f t="shared" si="12"/>
        <v>0</v>
      </c>
      <c r="K236" s="11">
        <f t="shared" si="13"/>
        <v>-1000</v>
      </c>
    </row>
    <row r="237" spans="1:16" ht="114" customHeight="1" x14ac:dyDescent="0.2">
      <c r="A237" s="39"/>
      <c r="B237" s="10" t="s">
        <v>283</v>
      </c>
      <c r="C237" s="6"/>
      <c r="D237" s="11"/>
      <c r="E237" s="11">
        <v>198</v>
      </c>
      <c r="F237" s="12">
        <v>198</v>
      </c>
      <c r="G237" s="12"/>
      <c r="H237" s="9">
        <f t="shared" si="11"/>
        <v>0</v>
      </c>
      <c r="I237" s="9"/>
      <c r="J237" s="9">
        <f t="shared" si="12"/>
        <v>0</v>
      </c>
      <c r="K237" s="11">
        <f t="shared" si="13"/>
        <v>-198</v>
      </c>
    </row>
    <row r="238" spans="1:16" ht="42.75" customHeight="1" x14ac:dyDescent="0.2">
      <c r="A238" s="39"/>
      <c r="B238" s="14" t="s">
        <v>284</v>
      </c>
      <c r="C238" s="6"/>
      <c r="D238" s="11"/>
      <c r="E238" s="11">
        <v>300</v>
      </c>
      <c r="F238" s="11">
        <v>300</v>
      </c>
      <c r="G238" s="11">
        <v>300</v>
      </c>
      <c r="H238" s="9">
        <f t="shared" si="11"/>
        <v>300</v>
      </c>
      <c r="I238" s="9"/>
      <c r="J238" s="9">
        <f t="shared" si="12"/>
        <v>100</v>
      </c>
      <c r="K238" s="11">
        <f t="shared" si="13"/>
        <v>0</v>
      </c>
    </row>
    <row r="239" spans="1:16" ht="45.75" customHeight="1" x14ac:dyDescent="0.2">
      <c r="A239" s="39"/>
      <c r="B239" s="10" t="s">
        <v>147</v>
      </c>
      <c r="C239" s="6">
        <v>12</v>
      </c>
      <c r="D239" s="13"/>
      <c r="E239" s="13"/>
      <c r="F239" s="13"/>
      <c r="G239" s="6"/>
      <c r="H239" s="9">
        <f t="shared" si="11"/>
        <v>-12</v>
      </c>
      <c r="I239" s="9">
        <f t="shared" si="14"/>
        <v>-100</v>
      </c>
      <c r="J239" s="9"/>
      <c r="K239" s="11">
        <f t="shared" si="13"/>
        <v>0</v>
      </c>
    </row>
    <row r="240" spans="1:16" s="4" customFormat="1" ht="98.25" customHeight="1" x14ac:dyDescent="0.2">
      <c r="A240" s="27" t="s">
        <v>270</v>
      </c>
      <c r="B240" s="107" t="s">
        <v>273</v>
      </c>
      <c r="C240" s="111">
        <v>-116.7</v>
      </c>
      <c r="D240" s="112">
        <v>1002</v>
      </c>
      <c r="E240" s="112">
        <v>1002</v>
      </c>
      <c r="F240" s="111">
        <f>F241+F242</f>
        <v>0.5</v>
      </c>
      <c r="G240" s="111">
        <f>G241+G242</f>
        <v>-86.3</v>
      </c>
      <c r="H240" s="9">
        <f t="shared" si="11"/>
        <v>30.400000000000006</v>
      </c>
      <c r="I240" s="9">
        <f t="shared" si="14"/>
        <v>-26.049700085689807</v>
      </c>
      <c r="J240" s="9">
        <f t="shared" si="12"/>
        <v>-8.6127744510978044</v>
      </c>
      <c r="K240" s="11">
        <f t="shared" si="13"/>
        <v>-1088.3</v>
      </c>
    </row>
    <row r="241" spans="1:14" ht="99" customHeight="1" x14ac:dyDescent="0.2">
      <c r="A241" s="39"/>
      <c r="B241" s="8" t="s">
        <v>274</v>
      </c>
      <c r="C241" s="6"/>
      <c r="D241" s="7">
        <v>1382</v>
      </c>
      <c r="E241" s="7">
        <v>1382</v>
      </c>
      <c r="F241" s="7">
        <v>88.5</v>
      </c>
      <c r="G241" s="6"/>
      <c r="H241" s="9">
        <f t="shared" si="11"/>
        <v>0</v>
      </c>
      <c r="I241" s="9"/>
      <c r="J241" s="9">
        <f t="shared" si="12"/>
        <v>0</v>
      </c>
      <c r="K241" s="11">
        <f t="shared" si="13"/>
        <v>-1382</v>
      </c>
    </row>
    <row r="242" spans="1:14" ht="96.75" customHeight="1" x14ac:dyDescent="0.2">
      <c r="A242" s="39"/>
      <c r="B242" s="8" t="s">
        <v>275</v>
      </c>
      <c r="C242" s="17">
        <v>-116.7</v>
      </c>
      <c r="D242" s="7">
        <v>-380</v>
      </c>
      <c r="E242" s="7">
        <v>-380</v>
      </c>
      <c r="F242" s="7">
        <v>-88</v>
      </c>
      <c r="G242" s="17">
        <v>-86.3</v>
      </c>
      <c r="H242" s="9">
        <f t="shared" si="11"/>
        <v>30.400000000000006</v>
      </c>
      <c r="I242" s="9">
        <f t="shared" si="14"/>
        <v>-26.049700085689807</v>
      </c>
      <c r="J242" s="9">
        <f t="shared" si="12"/>
        <v>22.710526315789473</v>
      </c>
      <c r="K242" s="11">
        <f t="shared" si="13"/>
        <v>293.7</v>
      </c>
    </row>
    <row r="243" spans="1:14" s="4" customFormat="1" ht="67.5" customHeight="1" x14ac:dyDescent="0.2">
      <c r="A243" s="27" t="s">
        <v>271</v>
      </c>
      <c r="B243" s="107" t="s">
        <v>276</v>
      </c>
      <c r="C243" s="111"/>
      <c r="D243" s="1"/>
      <c r="E243" s="1"/>
      <c r="F243" s="1"/>
      <c r="G243" s="111"/>
      <c r="H243" s="9">
        <f t="shared" si="11"/>
        <v>0</v>
      </c>
      <c r="I243" s="9"/>
      <c r="J243" s="9"/>
      <c r="K243" s="11">
        <f t="shared" si="13"/>
        <v>0</v>
      </c>
    </row>
    <row r="244" spans="1:14" ht="67.5" customHeight="1" x14ac:dyDescent="0.2">
      <c r="A244" s="39"/>
      <c r="B244" s="8" t="s">
        <v>277</v>
      </c>
      <c r="C244" s="17"/>
      <c r="D244" s="7">
        <v>34</v>
      </c>
      <c r="E244" s="7">
        <v>34</v>
      </c>
      <c r="F244" s="7">
        <v>10</v>
      </c>
      <c r="G244" s="17"/>
      <c r="H244" s="9">
        <f t="shared" si="11"/>
        <v>0</v>
      </c>
      <c r="I244" s="9"/>
      <c r="J244" s="9">
        <f t="shared" si="12"/>
        <v>0</v>
      </c>
      <c r="K244" s="11">
        <f t="shared" si="13"/>
        <v>-34</v>
      </c>
    </row>
    <row r="245" spans="1:14" ht="67.5" customHeight="1" x14ac:dyDescent="0.2">
      <c r="A245" s="39"/>
      <c r="B245" s="8" t="s">
        <v>278</v>
      </c>
      <c r="C245" s="17"/>
      <c r="D245" s="7">
        <v>-34</v>
      </c>
      <c r="E245" s="7">
        <v>-34</v>
      </c>
      <c r="F245" s="7">
        <v>-10</v>
      </c>
      <c r="G245" s="17"/>
      <c r="H245" s="9">
        <f t="shared" si="11"/>
        <v>0</v>
      </c>
      <c r="I245" s="9"/>
      <c r="J245" s="9">
        <f t="shared" si="12"/>
        <v>0</v>
      </c>
      <c r="K245" s="11">
        <f t="shared" si="13"/>
        <v>34</v>
      </c>
    </row>
    <row r="246" spans="1:14" s="4" customFormat="1" ht="81.75" customHeight="1" x14ac:dyDescent="0.2">
      <c r="A246" s="27" t="s">
        <v>272</v>
      </c>
      <c r="B246" s="107" t="s">
        <v>279</v>
      </c>
      <c r="C246" s="111"/>
      <c r="D246" s="1">
        <v>1500</v>
      </c>
      <c r="E246" s="1">
        <v>1500</v>
      </c>
      <c r="F246" s="1">
        <v>1500</v>
      </c>
      <c r="G246" s="111"/>
      <c r="H246" s="9">
        <f t="shared" si="11"/>
        <v>0</v>
      </c>
      <c r="I246" s="9"/>
      <c r="J246" s="9">
        <f t="shared" si="12"/>
        <v>0</v>
      </c>
      <c r="K246" s="11">
        <f t="shared" si="13"/>
        <v>-1500</v>
      </c>
    </row>
    <row r="247" spans="1:14" ht="78" customHeight="1" x14ac:dyDescent="0.2">
      <c r="A247" s="39"/>
      <c r="B247" s="8" t="s">
        <v>280</v>
      </c>
      <c r="C247" s="17"/>
      <c r="D247" s="7">
        <v>9500</v>
      </c>
      <c r="E247" s="7">
        <v>9500</v>
      </c>
      <c r="F247" s="7">
        <v>9500</v>
      </c>
      <c r="G247" s="17"/>
      <c r="H247" s="9">
        <f t="shared" si="11"/>
        <v>0</v>
      </c>
      <c r="I247" s="9"/>
      <c r="J247" s="9">
        <f t="shared" si="12"/>
        <v>0</v>
      </c>
      <c r="K247" s="11">
        <f t="shared" si="13"/>
        <v>-9500</v>
      </c>
    </row>
    <row r="248" spans="1:14" ht="78" customHeight="1" x14ac:dyDescent="0.2">
      <c r="A248" s="39"/>
      <c r="B248" s="8" t="s">
        <v>281</v>
      </c>
      <c r="C248" s="17"/>
      <c r="D248" s="7">
        <v>-8000</v>
      </c>
      <c r="E248" s="7">
        <v>-8000</v>
      </c>
      <c r="F248" s="7">
        <v>-8000</v>
      </c>
      <c r="G248" s="17"/>
      <c r="H248" s="9">
        <f t="shared" si="11"/>
        <v>0</v>
      </c>
      <c r="I248" s="9"/>
      <c r="J248" s="9">
        <f t="shared" si="12"/>
        <v>0</v>
      </c>
      <c r="K248" s="11">
        <f t="shared" si="13"/>
        <v>8000</v>
      </c>
    </row>
    <row r="249" spans="1:14" ht="62.25" customHeight="1" x14ac:dyDescent="0.2">
      <c r="A249" s="113" t="s">
        <v>120</v>
      </c>
      <c r="B249" s="8" t="s">
        <v>48</v>
      </c>
      <c r="C249" s="7">
        <f>10085.1+3340.6</f>
        <v>13425.7</v>
      </c>
      <c r="D249" s="7">
        <v>54889</v>
      </c>
      <c r="E249" s="7">
        <v>54889</v>
      </c>
      <c r="F249" s="7">
        <v>54889</v>
      </c>
      <c r="G249" s="7">
        <v>17904.5</v>
      </c>
      <c r="H249" s="9">
        <f t="shared" ref="H249:H256" si="15">G249-C249</f>
        <v>4478.7999999999993</v>
      </c>
      <c r="I249" s="9">
        <f>((G249/C249)*100)-100</f>
        <v>33.359899297615755</v>
      </c>
      <c r="J249" s="9">
        <f t="shared" ref="J249:J256" si="16">G249/E249*100</f>
        <v>32.619468381642953</v>
      </c>
      <c r="K249" s="11">
        <f t="shared" ref="K249:K256" si="17">G249-E249</f>
        <v>-36984.5</v>
      </c>
    </row>
    <row r="250" spans="1:14" ht="49.5" customHeight="1" x14ac:dyDescent="0.2">
      <c r="A250" s="31"/>
      <c r="B250" s="48" t="s">
        <v>49</v>
      </c>
      <c r="C250" s="9">
        <f>C184+C185+C190+C194+C196+C199+C204+C208+C213+C218+C219+C223+C226+C229+C230+C240+C243+C246+C249</f>
        <v>81665.7</v>
      </c>
      <c r="D250" s="9">
        <f>D184+D185+D190+D194+D196+D199+D204+D208+D213+D218+D219+D223+D226+D229+D230+D240+D243+D246+D249</f>
        <v>1253316</v>
      </c>
      <c r="E250" s="9">
        <f>E184+E185+E190+E194+E196+E199+E204+E208+E213+E218+E219+E223+E226+E229+E230+E240+E243+E246+E249</f>
        <v>1424271.777</v>
      </c>
      <c r="F250" s="9">
        <f>F184+F185+F190+F194+F196+F199+F204+F208+F213+F218+F219+F223+F226+F229+F230+F240+F243+F246+F249</f>
        <v>530327.8189999999</v>
      </c>
      <c r="G250" s="9">
        <f>G184+G185+G190+G194+G196+G199+G204+G208+G213+G218+G219+G223+G226+G229+G230+G240+G243+G246+G249</f>
        <v>209066.05799999999</v>
      </c>
      <c r="H250" s="9">
        <f t="shared" si="15"/>
        <v>127400.35799999999</v>
      </c>
      <c r="I250" s="9">
        <f>((G250/C250)*100)-100</f>
        <v>156.00228492500526</v>
      </c>
      <c r="J250" s="9">
        <f t="shared" si="16"/>
        <v>14.67880367891331</v>
      </c>
      <c r="K250" s="1">
        <f t="shared" si="17"/>
        <v>-1215205.719</v>
      </c>
      <c r="L250" s="3"/>
      <c r="M250" s="3"/>
      <c r="N250" s="114"/>
    </row>
    <row r="251" spans="1:14" ht="58.5" customHeight="1" x14ac:dyDescent="0.2">
      <c r="A251" s="31" t="s">
        <v>50</v>
      </c>
      <c r="B251" s="48" t="s">
        <v>51</v>
      </c>
      <c r="C251" s="9">
        <f>SUM(C252:C266)</f>
        <v>1358.9</v>
      </c>
      <c r="D251" s="9">
        <f>SUM(D252:D266)</f>
        <v>0</v>
      </c>
      <c r="E251" s="9">
        <f>SUM(E252:E266)</f>
        <v>21278</v>
      </c>
      <c r="F251" s="9">
        <f>SUM(F252:F266)</f>
        <v>18478</v>
      </c>
      <c r="G251" s="9">
        <f>SUM(G252:G266)</f>
        <v>2000</v>
      </c>
      <c r="H251" s="9">
        <f t="shared" si="15"/>
        <v>641.09999999999991</v>
      </c>
      <c r="I251" s="9">
        <f>((G251/C251)*100)-100</f>
        <v>47.177864449186842</v>
      </c>
      <c r="J251" s="9">
        <f t="shared" si="16"/>
        <v>9.3993796409436978</v>
      </c>
      <c r="K251" s="11">
        <f t="shared" si="17"/>
        <v>-19278</v>
      </c>
      <c r="N251" s="114"/>
    </row>
    <row r="252" spans="1:14" s="116" customFormat="1" ht="66" customHeight="1" x14ac:dyDescent="0.2">
      <c r="A252" s="115" t="s">
        <v>159</v>
      </c>
      <c r="B252" s="14" t="s">
        <v>151</v>
      </c>
      <c r="C252" s="17">
        <v>22</v>
      </c>
      <c r="D252" s="17"/>
      <c r="E252" s="12"/>
      <c r="F252" s="12"/>
      <c r="G252" s="17"/>
      <c r="H252" s="9">
        <f t="shared" si="15"/>
        <v>-22</v>
      </c>
      <c r="I252" s="9">
        <f>((G252/C252)*100)-100</f>
        <v>-100</v>
      </c>
      <c r="J252" s="9"/>
      <c r="K252" s="11">
        <f t="shared" si="17"/>
        <v>0</v>
      </c>
    </row>
    <row r="253" spans="1:14" s="42" customFormat="1" ht="83.25" customHeight="1" x14ac:dyDescent="0.2">
      <c r="A253" s="115" t="s">
        <v>159</v>
      </c>
      <c r="B253" s="14" t="s">
        <v>152</v>
      </c>
      <c r="C253" s="41"/>
      <c r="D253" s="41"/>
      <c r="E253" s="12">
        <v>185</v>
      </c>
      <c r="F253" s="12">
        <v>185</v>
      </c>
      <c r="G253" s="41"/>
      <c r="H253" s="9">
        <f t="shared" si="15"/>
        <v>0</v>
      </c>
      <c r="I253" s="9"/>
      <c r="J253" s="9">
        <f t="shared" si="16"/>
        <v>0</v>
      </c>
      <c r="K253" s="11">
        <f t="shared" si="17"/>
        <v>-185</v>
      </c>
    </row>
    <row r="254" spans="1:14" ht="72.75" customHeight="1" x14ac:dyDescent="0.2">
      <c r="A254" s="115" t="s">
        <v>113</v>
      </c>
      <c r="B254" s="15" t="s">
        <v>285</v>
      </c>
      <c r="C254" s="11"/>
      <c r="D254" s="13"/>
      <c r="E254" s="13">
        <v>1200</v>
      </c>
      <c r="F254" s="13">
        <v>1200</v>
      </c>
      <c r="G254" s="11"/>
      <c r="H254" s="9">
        <f t="shared" si="15"/>
        <v>0</v>
      </c>
      <c r="I254" s="9"/>
      <c r="J254" s="9">
        <f t="shared" si="16"/>
        <v>0</v>
      </c>
      <c r="K254" s="11">
        <f t="shared" si="17"/>
        <v>-1200</v>
      </c>
    </row>
    <row r="255" spans="1:14" s="30" customFormat="1" ht="72.75" customHeight="1" x14ac:dyDescent="0.2">
      <c r="A255" s="115" t="s">
        <v>113</v>
      </c>
      <c r="B255" s="16" t="s">
        <v>286</v>
      </c>
      <c r="C255" s="11"/>
      <c r="D255" s="13"/>
      <c r="E255" s="13">
        <v>150</v>
      </c>
      <c r="F255" s="13">
        <v>150</v>
      </c>
      <c r="G255" s="11"/>
      <c r="H255" s="9">
        <f t="shared" si="15"/>
        <v>0</v>
      </c>
      <c r="I255" s="9"/>
      <c r="J255" s="9">
        <f t="shared" si="16"/>
        <v>0</v>
      </c>
      <c r="K255" s="11">
        <f t="shared" si="17"/>
        <v>-150</v>
      </c>
    </row>
    <row r="256" spans="1:14" s="42" customFormat="1" ht="138.75" customHeight="1" x14ac:dyDescent="0.2">
      <c r="A256" s="115" t="s">
        <v>113</v>
      </c>
      <c r="B256" s="16" t="s">
        <v>287</v>
      </c>
      <c r="C256" s="88"/>
      <c r="D256" s="88"/>
      <c r="E256" s="117">
        <v>485</v>
      </c>
      <c r="F256" s="88">
        <v>485</v>
      </c>
      <c r="G256" s="88"/>
      <c r="H256" s="9">
        <f t="shared" si="15"/>
        <v>0</v>
      </c>
      <c r="I256" s="9"/>
      <c r="J256" s="9">
        <f t="shared" si="16"/>
        <v>0</v>
      </c>
      <c r="K256" s="11">
        <f t="shared" si="17"/>
        <v>-485</v>
      </c>
    </row>
    <row r="257" spans="1:13" ht="60" customHeight="1" x14ac:dyDescent="0.2">
      <c r="A257" s="118" t="s">
        <v>160</v>
      </c>
      <c r="B257" s="14" t="s">
        <v>153</v>
      </c>
      <c r="C257" s="7">
        <v>47</v>
      </c>
      <c r="D257" s="12"/>
      <c r="E257" s="12"/>
      <c r="F257" s="7"/>
      <c r="G257" s="7"/>
      <c r="H257" s="9">
        <f t="shared" ref="H257:H266" si="18">G257-C257</f>
        <v>-47</v>
      </c>
      <c r="I257" s="9">
        <f t="shared" ref="I257:I263" si="19">((G257/C257)*100)-100</f>
        <v>-100</v>
      </c>
      <c r="J257" s="9"/>
      <c r="K257" s="11">
        <f t="shared" ref="K257:K266" si="20">G257-E257</f>
        <v>0</v>
      </c>
    </row>
    <row r="258" spans="1:13" ht="60" customHeight="1" x14ac:dyDescent="0.2">
      <c r="A258" s="118" t="s">
        <v>161</v>
      </c>
      <c r="B258" s="14" t="s">
        <v>114</v>
      </c>
      <c r="C258" s="7"/>
      <c r="D258" s="12"/>
      <c r="E258" s="17">
        <v>30</v>
      </c>
      <c r="F258" s="17">
        <v>30</v>
      </c>
      <c r="G258" s="7"/>
      <c r="H258" s="9">
        <f t="shared" si="18"/>
        <v>0</v>
      </c>
      <c r="I258" s="9"/>
      <c r="J258" s="9">
        <f t="shared" ref="J258:J266" si="21">G258/E258*100</f>
        <v>0</v>
      </c>
      <c r="K258" s="11">
        <f t="shared" si="20"/>
        <v>-30</v>
      </c>
    </row>
    <row r="259" spans="1:13" ht="79.5" customHeight="1" x14ac:dyDescent="0.2">
      <c r="A259" s="118" t="s">
        <v>161</v>
      </c>
      <c r="B259" s="14" t="s">
        <v>288</v>
      </c>
      <c r="C259" s="7"/>
      <c r="D259" s="12"/>
      <c r="E259" s="17">
        <v>20</v>
      </c>
      <c r="F259" s="17">
        <v>20</v>
      </c>
      <c r="G259" s="7"/>
      <c r="H259" s="9">
        <f t="shared" si="18"/>
        <v>0</v>
      </c>
      <c r="I259" s="9"/>
      <c r="J259" s="9">
        <f t="shared" si="21"/>
        <v>0</v>
      </c>
      <c r="K259" s="11">
        <f t="shared" si="20"/>
        <v>-20</v>
      </c>
    </row>
    <row r="260" spans="1:13" ht="75" customHeight="1" x14ac:dyDescent="0.2">
      <c r="A260" s="118" t="s">
        <v>162</v>
      </c>
      <c r="B260" s="18" t="s">
        <v>115</v>
      </c>
      <c r="C260" s="7"/>
      <c r="D260" s="12"/>
      <c r="E260" s="12">
        <v>1000</v>
      </c>
      <c r="F260" s="7"/>
      <c r="G260" s="7"/>
      <c r="H260" s="9">
        <f t="shared" si="18"/>
        <v>0</v>
      </c>
      <c r="I260" s="9"/>
      <c r="J260" s="9">
        <f t="shared" si="21"/>
        <v>0</v>
      </c>
      <c r="K260" s="11">
        <f t="shared" si="20"/>
        <v>-1000</v>
      </c>
    </row>
    <row r="261" spans="1:13" ht="116.25" customHeight="1" x14ac:dyDescent="0.2">
      <c r="A261" s="118" t="s">
        <v>162</v>
      </c>
      <c r="B261" s="19" t="s">
        <v>289</v>
      </c>
      <c r="C261" s="7"/>
      <c r="D261" s="12"/>
      <c r="E261" s="12">
        <v>100</v>
      </c>
      <c r="F261" s="7">
        <v>100</v>
      </c>
      <c r="G261" s="7"/>
      <c r="H261" s="9">
        <f>G261-C261</f>
        <v>0</v>
      </c>
      <c r="I261" s="9"/>
      <c r="J261" s="9">
        <f>G261/E261*100</f>
        <v>0</v>
      </c>
      <c r="K261" s="11">
        <f>G261-E261</f>
        <v>-100</v>
      </c>
    </row>
    <row r="262" spans="1:13" ht="60.75" customHeight="1" x14ac:dyDescent="0.2">
      <c r="A262" s="118" t="s">
        <v>150</v>
      </c>
      <c r="B262" s="20" t="s">
        <v>154</v>
      </c>
      <c r="C262" s="7">
        <v>816.5</v>
      </c>
      <c r="D262" s="12"/>
      <c r="E262" s="12">
        <v>2000</v>
      </c>
      <c r="F262" s="7">
        <v>200</v>
      </c>
      <c r="G262" s="7"/>
      <c r="H262" s="9">
        <f t="shared" si="18"/>
        <v>-816.5</v>
      </c>
      <c r="I262" s="9">
        <f t="shared" si="19"/>
        <v>-100</v>
      </c>
      <c r="J262" s="9">
        <f t="shared" si="21"/>
        <v>0</v>
      </c>
      <c r="K262" s="11">
        <f t="shared" si="20"/>
        <v>-2000</v>
      </c>
    </row>
    <row r="263" spans="1:13" ht="84" customHeight="1" x14ac:dyDescent="0.2">
      <c r="A263" s="118" t="s">
        <v>148</v>
      </c>
      <c r="B263" s="119" t="s">
        <v>149</v>
      </c>
      <c r="C263" s="7">
        <f>140.4</f>
        <v>140.4</v>
      </c>
      <c r="D263" s="12"/>
      <c r="E263" s="12">
        <v>15458</v>
      </c>
      <c r="F263" s="7">
        <v>15458</v>
      </c>
      <c r="G263" s="7">
        <v>2000</v>
      </c>
      <c r="H263" s="9">
        <f t="shared" si="18"/>
        <v>1859.6</v>
      </c>
      <c r="I263" s="9">
        <f t="shared" si="19"/>
        <v>1324.5014245014245</v>
      </c>
      <c r="J263" s="9">
        <f t="shared" si="21"/>
        <v>12.93828438349075</v>
      </c>
      <c r="K263" s="11">
        <f t="shared" si="20"/>
        <v>-13458</v>
      </c>
    </row>
    <row r="264" spans="1:13" ht="158.25" customHeight="1" x14ac:dyDescent="0.2">
      <c r="A264" s="29" t="s">
        <v>178</v>
      </c>
      <c r="B264" s="16" t="s">
        <v>290</v>
      </c>
      <c r="C264" s="7"/>
      <c r="D264" s="12"/>
      <c r="E264" s="12">
        <v>50</v>
      </c>
      <c r="F264" s="7">
        <v>50</v>
      </c>
      <c r="G264" s="7"/>
      <c r="H264" s="9">
        <f>G264-C264</f>
        <v>0</v>
      </c>
      <c r="I264" s="9"/>
      <c r="J264" s="9">
        <f>G264/E264*100</f>
        <v>0</v>
      </c>
      <c r="K264" s="11">
        <f>G264-E264</f>
        <v>-50</v>
      </c>
    </row>
    <row r="265" spans="1:13" ht="84" customHeight="1" x14ac:dyDescent="0.2">
      <c r="A265" s="29" t="s">
        <v>157</v>
      </c>
      <c r="B265" s="21" t="s">
        <v>156</v>
      </c>
      <c r="C265" s="7">
        <v>333</v>
      </c>
      <c r="D265" s="12"/>
      <c r="E265" s="12"/>
      <c r="F265" s="7"/>
      <c r="G265" s="7"/>
      <c r="H265" s="9">
        <f>G265-C265</f>
        <v>-333</v>
      </c>
      <c r="I265" s="9">
        <f>((G265/C265)*100)-100</f>
        <v>-100</v>
      </c>
      <c r="J265" s="9"/>
      <c r="K265" s="11">
        <f>G265-E265</f>
        <v>0</v>
      </c>
    </row>
    <row r="266" spans="1:13" ht="99" customHeight="1" x14ac:dyDescent="0.2">
      <c r="A266" s="120" t="s">
        <v>158</v>
      </c>
      <c r="B266" s="15" t="s">
        <v>291</v>
      </c>
      <c r="C266" s="7"/>
      <c r="D266" s="12"/>
      <c r="E266" s="12">
        <v>600</v>
      </c>
      <c r="F266" s="7">
        <v>600</v>
      </c>
      <c r="G266" s="7"/>
      <c r="H266" s="9">
        <f t="shared" si="18"/>
        <v>0</v>
      </c>
      <c r="I266" s="9"/>
      <c r="J266" s="9">
        <f t="shared" si="21"/>
        <v>0</v>
      </c>
      <c r="K266" s="11">
        <f t="shared" si="20"/>
        <v>-600</v>
      </c>
    </row>
    <row r="267" spans="1:13" ht="49.5" customHeight="1" x14ac:dyDescent="0.2">
      <c r="A267" s="31"/>
      <c r="B267" s="48" t="s">
        <v>52</v>
      </c>
      <c r="C267" s="1">
        <f>C250+C251</f>
        <v>83024.599999999991</v>
      </c>
      <c r="D267" s="1">
        <f>D250+D251</f>
        <v>1253316</v>
      </c>
      <c r="E267" s="1">
        <f>E250+E251</f>
        <v>1445549.777</v>
      </c>
      <c r="F267" s="1">
        <f>F250+F251</f>
        <v>548805.8189999999</v>
      </c>
      <c r="G267" s="1">
        <f>G250+G251</f>
        <v>211066.05799999999</v>
      </c>
      <c r="H267" s="9">
        <f>G267-C267</f>
        <v>128041.458</v>
      </c>
      <c r="I267" s="9">
        <f>((G267/C267)*100)-100</f>
        <v>154.22110796077311</v>
      </c>
      <c r="J267" s="9">
        <f>G267/E267*100</f>
        <v>14.60109235657265</v>
      </c>
      <c r="K267" s="1">
        <f>G267-E267</f>
        <v>-1234483.719</v>
      </c>
      <c r="L267" s="3"/>
      <c r="M267" s="3"/>
    </row>
    <row r="268" spans="1:13" ht="49.5" customHeight="1" x14ac:dyDescent="0.2">
      <c r="A268" s="58"/>
      <c r="B268" s="121" t="s">
        <v>53</v>
      </c>
      <c r="C268" s="1">
        <f>C182+C267</f>
        <v>671420.79999999993</v>
      </c>
      <c r="D268" s="1">
        <f>D182+D267</f>
        <v>3547794.3000000003</v>
      </c>
      <c r="E268" s="1">
        <f>E182+E267</f>
        <v>3724462.6770000001</v>
      </c>
      <c r="F268" s="1">
        <f>F182+F267</f>
        <v>1301560.8189999999</v>
      </c>
      <c r="G268" s="1">
        <f>G182+G267</f>
        <v>795624.45799999987</v>
      </c>
      <c r="H268" s="9">
        <f>G268-C268</f>
        <v>124203.65799999994</v>
      </c>
      <c r="I268" s="9">
        <f>((G268/C268)*100)-100</f>
        <v>18.498631260753314</v>
      </c>
      <c r="J268" s="9">
        <f>G268/E268*100</f>
        <v>21.362127291898751</v>
      </c>
      <c r="K268" s="1">
        <f>G268-E268</f>
        <v>-2928838.2190000005</v>
      </c>
      <c r="L268" s="3"/>
      <c r="M268" s="3"/>
    </row>
    <row r="269" spans="1:13" ht="49.5" customHeight="1" x14ac:dyDescent="0.2">
      <c r="A269" s="122"/>
      <c r="B269" s="123"/>
      <c r="C269" s="124"/>
      <c r="D269" s="124"/>
      <c r="E269" s="124"/>
      <c r="F269" s="124"/>
      <c r="G269" s="124"/>
      <c r="H269" s="125"/>
      <c r="I269" s="125"/>
      <c r="J269" s="125"/>
      <c r="K269" s="126"/>
    </row>
    <row r="270" spans="1:13" ht="49.5" customHeight="1" x14ac:dyDescent="0.2">
      <c r="C270" s="127"/>
      <c r="D270" s="127"/>
      <c r="E270" s="127"/>
      <c r="F270" s="127"/>
      <c r="G270" s="127"/>
      <c r="H270" s="127"/>
      <c r="I270" s="127"/>
      <c r="J270" s="127"/>
      <c r="K270" s="127"/>
    </row>
    <row r="271" spans="1:13" ht="49.5" customHeight="1" x14ac:dyDescent="0.2">
      <c r="A271" s="2" t="s">
        <v>50</v>
      </c>
      <c r="B271" s="128" t="s">
        <v>70</v>
      </c>
      <c r="C271" s="129"/>
      <c r="D271" s="129"/>
      <c r="E271" s="129"/>
      <c r="F271" s="129"/>
      <c r="G271" s="129"/>
      <c r="H271" s="129"/>
      <c r="I271" s="141" t="s">
        <v>98</v>
      </c>
      <c r="J271" s="141"/>
      <c r="K271" s="130"/>
    </row>
    <row r="272" spans="1:13" ht="49.5" customHeight="1" x14ac:dyDescent="0.2">
      <c r="B272" s="131"/>
      <c r="C272" s="132"/>
      <c r="D272" s="133"/>
      <c r="E272" s="133"/>
      <c r="F272" s="133"/>
      <c r="G272" s="133"/>
      <c r="H272" s="133"/>
      <c r="I272" s="131"/>
      <c r="J272" s="127"/>
      <c r="K272" s="127"/>
    </row>
    <row r="273" spans="2:11" ht="49.5" customHeight="1" x14ac:dyDescent="0.2">
      <c r="B273" s="131"/>
      <c r="C273" s="132"/>
      <c r="D273" s="133"/>
      <c r="E273" s="133"/>
      <c r="F273" s="133"/>
      <c r="G273" s="133"/>
      <c r="H273" s="134"/>
      <c r="I273" s="134"/>
      <c r="J273" s="127"/>
      <c r="K273" s="127"/>
    </row>
    <row r="274" spans="2:11" ht="49.5" customHeight="1" x14ac:dyDescent="0.2">
      <c r="B274" s="131"/>
      <c r="C274" s="134"/>
      <c r="D274" s="134"/>
      <c r="E274" s="134"/>
      <c r="F274" s="134"/>
      <c r="G274" s="134"/>
      <c r="H274" s="134"/>
      <c r="I274" s="134"/>
      <c r="J274" s="127"/>
      <c r="K274" s="127"/>
    </row>
    <row r="275" spans="2:11" ht="49.5" customHeight="1" x14ac:dyDescent="0.2">
      <c r="C275" s="127"/>
      <c r="D275" s="127"/>
      <c r="E275" s="127"/>
      <c r="F275" s="127"/>
      <c r="G275" s="127"/>
      <c r="H275" s="127"/>
      <c r="I275" s="127"/>
      <c r="J275" s="127"/>
      <c r="K275" s="127"/>
    </row>
    <row r="366" spans="5:6" x14ac:dyDescent="0.2">
      <c r="E366" s="2"/>
      <c r="F366" s="2"/>
    </row>
  </sheetData>
  <mergeCells count="22">
    <mergeCell ref="H1:K1"/>
    <mergeCell ref="H2:K2"/>
    <mergeCell ref="H3:K3"/>
    <mergeCell ref="A4:K4"/>
    <mergeCell ref="A5:K5"/>
    <mergeCell ref="A6:K6"/>
    <mergeCell ref="B7:J7"/>
    <mergeCell ref="A8:A9"/>
    <mergeCell ref="B8:B9"/>
    <mergeCell ref="C8:C9"/>
    <mergeCell ref="D8:D9"/>
    <mergeCell ref="E8:E9"/>
    <mergeCell ref="F8:F9"/>
    <mergeCell ref="G8:G9"/>
    <mergeCell ref="H8:I8"/>
    <mergeCell ref="J8:J9"/>
    <mergeCell ref="K8:K9"/>
    <mergeCell ref="A11:K11"/>
    <mergeCell ref="A141:B141"/>
    <mergeCell ref="A182:B182"/>
    <mergeCell ref="A183:K183"/>
    <mergeCell ref="I271:J271"/>
  </mergeCells>
  <pageMargins left="0.78740157480314965" right="0.78740157480314965" top="1.3779527559055118" bottom="0.39370078740157483" header="0" footer="0"/>
  <pageSetup paperSize="9" scale="66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Sunoverska</dc:creator>
  <cp:lastModifiedBy>RePack by Diakov</cp:lastModifiedBy>
  <cp:lastPrinted>2019-04-15T13:23:25Z</cp:lastPrinted>
  <dcterms:created xsi:type="dcterms:W3CDTF">2012-02-01T12:37:59Z</dcterms:created>
  <dcterms:modified xsi:type="dcterms:W3CDTF">2019-07-19T13:04:42Z</dcterms:modified>
</cp:coreProperties>
</file>