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bookViews>
    <workbookView xWindow="0" yWindow="0" windowWidth="23250" windowHeight="12330" tabRatio="486"/>
  </bookViews>
  <sheets>
    <sheet name="Лист1" sheetId="45" r:id="rId1"/>
  </sheets>
  <definedNames>
    <definedName name="_xlnm.Print_Titles" localSheetId="0">Лист1!$8:$10</definedName>
    <definedName name="_xlnm.Print_Area" localSheetId="0">Лист1!$A$1:$K$439</definedName>
  </definedNames>
  <calcPr calcId="162913" fullCalcOnLoad="1"/>
</workbook>
</file>

<file path=xl/calcChain.xml><?xml version="1.0" encoding="utf-8"?>
<calcChain xmlns="http://schemas.openxmlformats.org/spreadsheetml/2006/main">
  <c r="G18" i="45" l="1"/>
  <c r="L18" i="45"/>
  <c r="G282" i="45"/>
  <c r="G137" i="45"/>
  <c r="H137" i="45"/>
  <c r="G35" i="45"/>
  <c r="G102" i="45"/>
  <c r="G121" i="45"/>
  <c r="G101" i="45"/>
  <c r="J101" i="45"/>
  <c r="G24" i="45"/>
  <c r="G65" i="45"/>
  <c r="G28" i="45"/>
  <c r="F158" i="45"/>
  <c r="G158" i="45"/>
  <c r="D158" i="45"/>
  <c r="E161" i="45"/>
  <c r="D161" i="45"/>
  <c r="F18" i="45"/>
  <c r="E18" i="45"/>
  <c r="G26" i="45"/>
  <c r="F26" i="45"/>
  <c r="N5" i="45"/>
  <c r="K93" i="45"/>
  <c r="K94" i="45"/>
  <c r="J93" i="45"/>
  <c r="J94" i="45"/>
  <c r="I93" i="45"/>
  <c r="I95" i="45"/>
  <c r="H94" i="45"/>
  <c r="E174" i="45"/>
  <c r="K195" i="45"/>
  <c r="J195" i="45"/>
  <c r="H195" i="45"/>
  <c r="E168" i="45"/>
  <c r="J200" i="45"/>
  <c r="H200" i="45"/>
  <c r="E208" i="45"/>
  <c r="G181" i="45"/>
  <c r="G182" i="45"/>
  <c r="J182" i="45"/>
  <c r="H182" i="45"/>
  <c r="G179" i="45"/>
  <c r="F174" i="45"/>
  <c r="D174" i="45"/>
  <c r="C174" i="45"/>
  <c r="H184" i="45"/>
  <c r="J184" i="45"/>
  <c r="K184" i="45"/>
  <c r="K186" i="45"/>
  <c r="J186" i="45"/>
  <c r="H185" i="45"/>
  <c r="H186" i="45"/>
  <c r="K185" i="45"/>
  <c r="J178" i="45"/>
  <c r="J180" i="45"/>
  <c r="J183" i="45"/>
  <c r="I180" i="45"/>
  <c r="I183" i="45"/>
  <c r="I185" i="45"/>
  <c r="K178" i="45"/>
  <c r="H178" i="45"/>
  <c r="J176" i="45"/>
  <c r="J177" i="45"/>
  <c r="I176" i="45"/>
  <c r="I177" i="45"/>
  <c r="K177" i="45"/>
  <c r="H177" i="45"/>
  <c r="K188" i="45"/>
  <c r="J192" i="45"/>
  <c r="J193" i="45"/>
  <c r="H192" i="45"/>
  <c r="H193" i="45"/>
  <c r="J201" i="45"/>
  <c r="I201" i="45"/>
  <c r="I203" i="45"/>
  <c r="I102" i="45"/>
  <c r="K30" i="45"/>
  <c r="J30" i="45"/>
  <c r="J31" i="45"/>
  <c r="J32" i="45"/>
  <c r="I31" i="45"/>
  <c r="I32" i="45"/>
  <c r="H30" i="45"/>
  <c r="H31" i="45"/>
  <c r="E62" i="45"/>
  <c r="J63" i="45"/>
  <c r="J64" i="45"/>
  <c r="I64" i="45"/>
  <c r="J199" i="45"/>
  <c r="I52" i="45"/>
  <c r="K53" i="45"/>
  <c r="J53" i="45"/>
  <c r="H53" i="45"/>
  <c r="H49" i="45"/>
  <c r="G56" i="45"/>
  <c r="F156" i="45"/>
  <c r="E156" i="45"/>
  <c r="F54" i="45"/>
  <c r="F47" i="45"/>
  <c r="P47" i="45"/>
  <c r="F20" i="45"/>
  <c r="E54" i="45"/>
  <c r="E20" i="45"/>
  <c r="K20" i="45"/>
  <c r="E16" i="45"/>
  <c r="E35" i="45"/>
  <c r="E33" i="45"/>
  <c r="F137" i="45"/>
  <c r="N137" i="45"/>
  <c r="E137" i="45"/>
  <c r="M137" i="45"/>
  <c r="L137" i="45"/>
  <c r="E124" i="45"/>
  <c r="F130" i="45"/>
  <c r="E130" i="45"/>
  <c r="F121" i="45"/>
  <c r="F106" i="45"/>
  <c r="P106" i="45"/>
  <c r="E121" i="45"/>
  <c r="F122" i="45"/>
  <c r="E122" i="45"/>
  <c r="E106" i="45"/>
  <c r="J122" i="45"/>
  <c r="D122" i="45"/>
  <c r="F67" i="45"/>
  <c r="G67" i="45"/>
  <c r="E67" i="45"/>
  <c r="O67" i="45"/>
  <c r="H79" i="45"/>
  <c r="J79" i="45"/>
  <c r="K79" i="45"/>
  <c r="H214" i="45"/>
  <c r="K214" i="45"/>
  <c r="H215" i="45"/>
  <c r="I215" i="45"/>
  <c r="J215" i="45"/>
  <c r="K215" i="45"/>
  <c r="H216" i="45"/>
  <c r="J216" i="45"/>
  <c r="K216" i="45"/>
  <c r="H217" i="45"/>
  <c r="I217" i="45"/>
  <c r="J217" i="45"/>
  <c r="K217" i="45"/>
  <c r="H219" i="45"/>
  <c r="K219" i="45"/>
  <c r="H220" i="45"/>
  <c r="J220" i="45"/>
  <c r="K220" i="45"/>
  <c r="H222" i="45"/>
  <c r="J222" i="45"/>
  <c r="K222" i="45"/>
  <c r="H224" i="45"/>
  <c r="K224" i="45"/>
  <c r="H225" i="45"/>
  <c r="I225" i="45"/>
  <c r="J225" i="45"/>
  <c r="K225" i="45"/>
  <c r="H226" i="45"/>
  <c r="H227" i="45"/>
  <c r="J227" i="45"/>
  <c r="K227" i="45"/>
  <c r="H228" i="45"/>
  <c r="I228" i="45"/>
  <c r="J228" i="45"/>
  <c r="K228" i="45"/>
  <c r="H229" i="45"/>
  <c r="I229" i="45"/>
  <c r="J229" i="45"/>
  <c r="K229" i="45"/>
  <c r="H230" i="45"/>
  <c r="I230" i="45"/>
  <c r="J230" i="45"/>
  <c r="K230" i="45"/>
  <c r="H231" i="45"/>
  <c r="I231" i="45"/>
  <c r="J231" i="45"/>
  <c r="K231" i="45"/>
  <c r="H233" i="45"/>
  <c r="K233" i="45"/>
  <c r="H234" i="45"/>
  <c r="I234" i="45"/>
  <c r="J234" i="45"/>
  <c r="K234" i="45"/>
  <c r="H235" i="45"/>
  <c r="I235" i="45"/>
  <c r="J235" i="45"/>
  <c r="K235" i="45"/>
  <c r="H236" i="45"/>
  <c r="I236" i="45"/>
  <c r="J236" i="45"/>
  <c r="K236" i="45"/>
  <c r="H238" i="45"/>
  <c r="J238" i="45"/>
  <c r="K238" i="45"/>
  <c r="H239" i="45"/>
  <c r="I239" i="45"/>
  <c r="J239" i="45"/>
  <c r="K239" i="45"/>
  <c r="H240" i="45"/>
  <c r="J240" i="45"/>
  <c r="K240" i="45"/>
  <c r="J241" i="45"/>
  <c r="K241" i="45"/>
  <c r="H242" i="45"/>
  <c r="K242" i="45"/>
  <c r="H243" i="45"/>
  <c r="I243" i="45"/>
  <c r="J243" i="45"/>
  <c r="K243" i="45"/>
  <c r="H244" i="45"/>
  <c r="I244" i="45"/>
  <c r="J244" i="45"/>
  <c r="K244" i="45"/>
  <c r="H245" i="45"/>
  <c r="J245" i="45"/>
  <c r="K245" i="45"/>
  <c r="H246" i="45"/>
  <c r="J246" i="45"/>
  <c r="K246" i="45"/>
  <c r="H247" i="45"/>
  <c r="I247" i="45"/>
  <c r="J247" i="45"/>
  <c r="K247" i="45"/>
  <c r="H250" i="45"/>
  <c r="K250" i="45"/>
  <c r="H251" i="45"/>
  <c r="I251" i="45"/>
  <c r="J251" i="45"/>
  <c r="K251" i="45"/>
  <c r="H252" i="45"/>
  <c r="I252" i="45"/>
  <c r="K252" i="45"/>
  <c r="H253" i="45"/>
  <c r="J253" i="45"/>
  <c r="K253" i="45"/>
  <c r="H254" i="45"/>
  <c r="J254" i="45"/>
  <c r="K254" i="45"/>
  <c r="H255" i="45"/>
  <c r="K255" i="45"/>
  <c r="H256" i="45"/>
  <c r="J256" i="45"/>
  <c r="K256" i="45"/>
  <c r="H257" i="45"/>
  <c r="J257" i="45"/>
  <c r="K257" i="45"/>
  <c r="H258" i="45"/>
  <c r="J258" i="45"/>
  <c r="K258" i="45"/>
  <c r="H259" i="45"/>
  <c r="J259" i="45"/>
  <c r="K259" i="45"/>
  <c r="H260" i="45"/>
  <c r="J260" i="45"/>
  <c r="K260" i="45"/>
  <c r="H261" i="45"/>
  <c r="J261" i="45"/>
  <c r="K261" i="45"/>
  <c r="H262" i="45"/>
  <c r="J262" i="45"/>
  <c r="K262" i="45"/>
  <c r="H263" i="45"/>
  <c r="J263" i="45"/>
  <c r="K263" i="45"/>
  <c r="H264" i="45"/>
  <c r="J264" i="45"/>
  <c r="K264" i="45"/>
  <c r="H265" i="45"/>
  <c r="J265" i="45"/>
  <c r="K265" i="45"/>
  <c r="H266" i="45"/>
  <c r="J266" i="45"/>
  <c r="K266" i="45"/>
  <c r="H267" i="45"/>
  <c r="J267" i="45"/>
  <c r="K267" i="45"/>
  <c r="H268" i="45"/>
  <c r="H269" i="45"/>
  <c r="J269" i="45"/>
  <c r="K269" i="45"/>
  <c r="H270" i="45"/>
  <c r="J270" i="45"/>
  <c r="K270" i="45"/>
  <c r="H271" i="45"/>
  <c r="I271" i="45"/>
  <c r="K271" i="45"/>
  <c r="H272" i="45"/>
  <c r="J272" i="45"/>
  <c r="K272" i="45"/>
  <c r="H275" i="45"/>
  <c r="I275" i="45"/>
  <c r="J275" i="45"/>
  <c r="K275" i="45"/>
  <c r="K276" i="45"/>
  <c r="H277" i="45"/>
  <c r="I277" i="45"/>
  <c r="J277" i="45"/>
  <c r="K277" i="45"/>
  <c r="H278" i="45"/>
  <c r="I278" i="45"/>
  <c r="J278" i="45"/>
  <c r="K278" i="45"/>
  <c r="H280" i="45"/>
  <c r="I280" i="45"/>
  <c r="J280" i="45"/>
  <c r="K280" i="45"/>
  <c r="H281" i="45"/>
  <c r="J281" i="45"/>
  <c r="K281" i="45"/>
  <c r="H282" i="45"/>
  <c r="I282" i="45"/>
  <c r="J282" i="45"/>
  <c r="K282" i="45"/>
  <c r="H285" i="45"/>
  <c r="I285" i="45"/>
  <c r="K285" i="45"/>
  <c r="H286" i="45"/>
  <c r="J286" i="45"/>
  <c r="K286" i="45"/>
  <c r="H287" i="45"/>
  <c r="I287" i="45"/>
  <c r="K287" i="45"/>
  <c r="H288" i="45"/>
  <c r="J288" i="45"/>
  <c r="K288" i="45"/>
  <c r="H289" i="45"/>
  <c r="J289" i="45"/>
  <c r="K289" i="45"/>
  <c r="H290" i="45"/>
  <c r="I290" i="45"/>
  <c r="K290" i="45"/>
  <c r="H291" i="45"/>
  <c r="I291" i="45"/>
  <c r="K291" i="45"/>
  <c r="H292" i="45"/>
  <c r="J292" i="45"/>
  <c r="K292" i="45"/>
  <c r="H293" i="45"/>
  <c r="J293" i="45"/>
  <c r="K293" i="45"/>
  <c r="H294" i="45"/>
  <c r="I294" i="45"/>
  <c r="K294" i="45"/>
  <c r="H295" i="45"/>
  <c r="J295" i="45"/>
  <c r="K295" i="45"/>
  <c r="H296" i="45"/>
  <c r="I296" i="45"/>
  <c r="K296" i="45"/>
  <c r="H297" i="45"/>
  <c r="J297" i="45"/>
  <c r="K297" i="45"/>
  <c r="H298" i="45"/>
  <c r="I298" i="45"/>
  <c r="K298" i="45"/>
  <c r="H299" i="45"/>
  <c r="J299" i="45"/>
  <c r="K299" i="45"/>
  <c r="H300" i="45"/>
  <c r="J300" i="45"/>
  <c r="K300" i="45"/>
  <c r="H301" i="45"/>
  <c r="I301" i="45"/>
  <c r="K301" i="45"/>
  <c r="H302" i="45"/>
  <c r="J302" i="45"/>
  <c r="K302" i="45"/>
  <c r="H303" i="45"/>
  <c r="J303" i="45"/>
  <c r="K303" i="45"/>
  <c r="H304" i="45"/>
  <c r="I304" i="45"/>
  <c r="K304" i="45"/>
  <c r="H305" i="45"/>
  <c r="I305" i="45"/>
  <c r="J305" i="45"/>
  <c r="K305" i="45"/>
  <c r="H306" i="45"/>
  <c r="J306" i="45"/>
  <c r="K306" i="45"/>
  <c r="H307" i="45"/>
  <c r="I307" i="45"/>
  <c r="H308" i="45"/>
  <c r="I308" i="45"/>
  <c r="J308" i="45"/>
  <c r="K308" i="45"/>
  <c r="H309" i="45"/>
  <c r="I309" i="45"/>
  <c r="K309" i="45"/>
  <c r="H310" i="45"/>
  <c r="I310" i="45"/>
  <c r="K310" i="45"/>
  <c r="H311" i="45"/>
  <c r="J311" i="45"/>
  <c r="K311" i="45"/>
  <c r="H312" i="45"/>
  <c r="I312" i="45"/>
  <c r="J312" i="45"/>
  <c r="K312" i="45"/>
  <c r="H313" i="45"/>
  <c r="J313" i="45"/>
  <c r="K313" i="45"/>
  <c r="H314" i="45"/>
  <c r="I314" i="45"/>
  <c r="J314" i="45"/>
  <c r="K314" i="45"/>
  <c r="H315" i="45"/>
  <c r="J315" i="45"/>
  <c r="K315" i="45"/>
  <c r="H316" i="45"/>
  <c r="J316" i="45"/>
  <c r="K316" i="45"/>
  <c r="H317" i="45"/>
  <c r="J317" i="45"/>
  <c r="K317" i="45"/>
  <c r="H318" i="45"/>
  <c r="J318" i="45"/>
  <c r="K318" i="45"/>
  <c r="H319" i="45"/>
  <c r="J319" i="45"/>
  <c r="K319" i="45"/>
  <c r="H320" i="45"/>
  <c r="I320" i="45"/>
  <c r="J320" i="45"/>
  <c r="K320" i="45"/>
  <c r="H321" i="45"/>
  <c r="J321" i="45"/>
  <c r="K321" i="45"/>
  <c r="H322" i="45"/>
  <c r="J322" i="45"/>
  <c r="K322" i="45"/>
  <c r="H323" i="45"/>
  <c r="J323" i="45"/>
  <c r="K323" i="45"/>
  <c r="H324" i="45"/>
  <c r="J324" i="45"/>
  <c r="K324" i="45"/>
  <c r="H325" i="45"/>
  <c r="J325" i="45"/>
  <c r="K325" i="45"/>
  <c r="H326" i="45"/>
  <c r="J326" i="45"/>
  <c r="K326" i="45"/>
  <c r="H327" i="45"/>
  <c r="J327" i="45"/>
  <c r="K327" i="45"/>
  <c r="H328" i="45"/>
  <c r="J328" i="45"/>
  <c r="K328" i="45"/>
  <c r="H329" i="45"/>
  <c r="J329" i="45"/>
  <c r="K329" i="45"/>
  <c r="H330" i="45"/>
  <c r="J330" i="45"/>
  <c r="K330" i="45"/>
  <c r="H331" i="45"/>
  <c r="J331" i="45"/>
  <c r="K331" i="45"/>
  <c r="H332" i="45"/>
  <c r="I332" i="45"/>
  <c r="K332" i="45"/>
  <c r="H333" i="45"/>
  <c r="I333" i="45"/>
  <c r="K333" i="45"/>
  <c r="H334" i="45"/>
  <c r="J334" i="45"/>
  <c r="K334" i="45"/>
  <c r="H335" i="45"/>
  <c r="J335" i="45"/>
  <c r="K335" i="45"/>
  <c r="H336" i="45"/>
  <c r="J336" i="45"/>
  <c r="K336" i="45"/>
  <c r="H337" i="45"/>
  <c r="I337" i="45"/>
  <c r="J337" i="45"/>
  <c r="K337" i="45"/>
  <c r="H338" i="45"/>
  <c r="J338" i="45"/>
  <c r="K338" i="45"/>
  <c r="H339" i="45"/>
  <c r="J339" i="45"/>
  <c r="K339" i="45"/>
  <c r="C284" i="45"/>
  <c r="C273" i="45"/>
  <c r="C276" i="45"/>
  <c r="H276" i="45"/>
  <c r="C279" i="45"/>
  <c r="C241" i="45"/>
  <c r="H241" i="45"/>
  <c r="F35" i="45"/>
  <c r="F33" i="45"/>
  <c r="M33" i="45"/>
  <c r="F65" i="45"/>
  <c r="E65" i="45"/>
  <c r="J62" i="45"/>
  <c r="F62" i="45"/>
  <c r="F59" i="45"/>
  <c r="E59" i="45"/>
  <c r="O59" i="45"/>
  <c r="E40" i="45"/>
  <c r="F49" i="45"/>
  <c r="E49" i="45"/>
  <c r="E47" i="45"/>
  <c r="E21" i="45"/>
  <c r="F23" i="45"/>
  <c r="F16" i="45"/>
  <c r="E23" i="45"/>
  <c r="J23" i="45"/>
  <c r="E28" i="45"/>
  <c r="E26" i="45"/>
  <c r="L26" i="45"/>
  <c r="J18" i="45"/>
  <c r="H188" i="45"/>
  <c r="M340" i="45"/>
  <c r="E307" i="45"/>
  <c r="G274" i="45"/>
  <c r="J274" i="45"/>
  <c r="G237" i="45"/>
  <c r="Q70" i="45"/>
  <c r="E268" i="45"/>
  <c r="J268" i="45"/>
  <c r="F212" i="45"/>
  <c r="F248" i="45"/>
  <c r="E248" i="45"/>
  <c r="K248" i="45"/>
  <c r="F273" i="45"/>
  <c r="E273" i="45"/>
  <c r="D283" i="45"/>
  <c r="D340" i="45"/>
  <c r="G249" i="45"/>
  <c r="F249" i="45"/>
  <c r="P104" i="45"/>
  <c r="E249" i="45"/>
  <c r="O104" i="45"/>
  <c r="G248" i="45"/>
  <c r="J248" i="45"/>
  <c r="F237" i="45"/>
  <c r="E237" i="45"/>
  <c r="O70" i="45"/>
  <c r="G232" i="45"/>
  <c r="F232" i="45"/>
  <c r="E232" i="45"/>
  <c r="E226" i="45"/>
  <c r="J226" i="45"/>
  <c r="G223" i="45"/>
  <c r="F223" i="45"/>
  <c r="E223" i="45"/>
  <c r="O47" i="45"/>
  <c r="F222" i="45"/>
  <c r="G221" i="45"/>
  <c r="H221" i="45"/>
  <c r="F221" i="45"/>
  <c r="G218" i="45"/>
  <c r="F218" i="45"/>
  <c r="P26" i="45"/>
  <c r="E218" i="45"/>
  <c r="G213" i="45"/>
  <c r="F213" i="45"/>
  <c r="E213" i="45"/>
  <c r="J213" i="45"/>
  <c r="G212" i="45"/>
  <c r="H212" i="45"/>
  <c r="I212" i="45"/>
  <c r="E212" i="45"/>
  <c r="J212" i="45"/>
  <c r="G211" i="45"/>
  <c r="I211" i="45"/>
  <c r="F211" i="45"/>
  <c r="E12" i="45"/>
  <c r="F12" i="45"/>
  <c r="H74" i="45"/>
  <c r="P86" i="45"/>
  <c r="Q86" i="45"/>
  <c r="O86" i="45"/>
  <c r="P74" i="45"/>
  <c r="Q74" i="45"/>
  <c r="O74" i="45"/>
  <c r="P72" i="45"/>
  <c r="Q72" i="45"/>
  <c r="O72" i="45"/>
  <c r="G279" i="45"/>
  <c r="I279" i="45"/>
  <c r="K95" i="45"/>
  <c r="J95" i="45"/>
  <c r="H95" i="45"/>
  <c r="E88" i="45"/>
  <c r="G96" i="45"/>
  <c r="K97" i="45"/>
  <c r="K98" i="45"/>
  <c r="J97" i="45"/>
  <c r="J98" i="45"/>
  <c r="H97" i="45"/>
  <c r="H98" i="45"/>
  <c r="D96" i="45"/>
  <c r="E96" i="45"/>
  <c r="O88" i="45"/>
  <c r="F96" i="45"/>
  <c r="C96" i="45"/>
  <c r="D67" i="45"/>
  <c r="C12" i="45"/>
  <c r="D12" i="45"/>
  <c r="G12" i="45"/>
  <c r="H14" i="45"/>
  <c r="I14" i="45"/>
  <c r="J14" i="45"/>
  <c r="K14" i="45"/>
  <c r="H15" i="45"/>
  <c r="K15" i="45"/>
  <c r="D16" i="45"/>
  <c r="H18" i="45"/>
  <c r="I18" i="45"/>
  <c r="H19" i="45"/>
  <c r="J19" i="45"/>
  <c r="K19" i="45"/>
  <c r="H20" i="45"/>
  <c r="I20" i="45"/>
  <c r="H23" i="45"/>
  <c r="H24" i="45"/>
  <c r="I24" i="45"/>
  <c r="J24" i="45"/>
  <c r="K24" i="45"/>
  <c r="C26" i="45"/>
  <c r="C153" i="45"/>
  <c r="C207" i="45"/>
  <c r="D26" i="45"/>
  <c r="H29" i="45"/>
  <c r="I29" i="45"/>
  <c r="J29" i="45"/>
  <c r="K29" i="45"/>
  <c r="H32" i="45"/>
  <c r="K32" i="45"/>
  <c r="C33" i="45"/>
  <c r="D33" i="45"/>
  <c r="H34" i="45"/>
  <c r="K34" i="45"/>
  <c r="H36" i="45"/>
  <c r="I36" i="45"/>
  <c r="J36" i="45"/>
  <c r="K36" i="45"/>
  <c r="H37" i="45"/>
  <c r="J37" i="45"/>
  <c r="K37" i="45"/>
  <c r="H39" i="45"/>
  <c r="K39" i="45"/>
  <c r="C40" i="45"/>
  <c r="D40" i="45"/>
  <c r="F40" i="45"/>
  <c r="P40" i="45"/>
  <c r="G40" i="45"/>
  <c r="N40" i="45"/>
  <c r="N42" i="45"/>
  <c r="H42" i="45"/>
  <c r="I42" i="45"/>
  <c r="J42" i="45"/>
  <c r="K42" i="45"/>
  <c r="H43" i="45"/>
  <c r="I43" i="45"/>
  <c r="J43" i="45"/>
  <c r="K43" i="45"/>
  <c r="H44" i="45"/>
  <c r="J44" i="45"/>
  <c r="K44" i="45"/>
  <c r="H45" i="45"/>
  <c r="I45" i="45"/>
  <c r="J45" i="45"/>
  <c r="K45" i="45"/>
  <c r="H46" i="45"/>
  <c r="J46" i="45"/>
  <c r="K46" i="45"/>
  <c r="D47" i="45"/>
  <c r="G47" i="45"/>
  <c r="Q47" i="45"/>
  <c r="N47" i="45"/>
  <c r="N49" i="45"/>
  <c r="C47" i="45"/>
  <c r="H50" i="45"/>
  <c r="I50" i="45"/>
  <c r="J50" i="45"/>
  <c r="K50" i="45"/>
  <c r="H51" i="45"/>
  <c r="I51" i="45"/>
  <c r="J51" i="45"/>
  <c r="K51" i="45"/>
  <c r="H52" i="45"/>
  <c r="J52" i="45"/>
  <c r="K52" i="45"/>
  <c r="H54" i="45"/>
  <c r="J54" i="45"/>
  <c r="K54" i="45"/>
  <c r="C55" i="45"/>
  <c r="D55" i="45"/>
  <c r="E55" i="45"/>
  <c r="O55" i="45"/>
  <c r="F55" i="45"/>
  <c r="P55" i="45"/>
  <c r="H57" i="45"/>
  <c r="J57" i="45"/>
  <c r="K57" i="45"/>
  <c r="H58" i="45"/>
  <c r="J58" i="45"/>
  <c r="K58" i="45"/>
  <c r="D59" i="45"/>
  <c r="G59" i="45"/>
  <c r="Q59" i="45"/>
  <c r="H60" i="45"/>
  <c r="H61" i="45"/>
  <c r="I61" i="45"/>
  <c r="J61" i="45"/>
  <c r="K61" i="45"/>
  <c r="H63" i="45"/>
  <c r="I63" i="45"/>
  <c r="K63" i="45"/>
  <c r="H64" i="45"/>
  <c r="K64" i="45"/>
  <c r="H66" i="45"/>
  <c r="J66" i="45"/>
  <c r="K66" i="45"/>
  <c r="C67" i="45"/>
  <c r="Q67" i="45"/>
  <c r="H68" i="45"/>
  <c r="K68" i="45"/>
  <c r="H69" i="45"/>
  <c r="J69" i="45"/>
  <c r="K69" i="45"/>
  <c r="H70" i="45"/>
  <c r="J70" i="45"/>
  <c r="K70" i="45"/>
  <c r="H71" i="45"/>
  <c r="J71" i="45"/>
  <c r="K71" i="45"/>
  <c r="H72" i="45"/>
  <c r="J72" i="45"/>
  <c r="K72" i="45"/>
  <c r="H73" i="45"/>
  <c r="J73" i="45"/>
  <c r="K73" i="45"/>
  <c r="J74" i="45"/>
  <c r="K74" i="45"/>
  <c r="H75" i="45"/>
  <c r="J75" i="45"/>
  <c r="K75" i="45"/>
  <c r="H76" i="45"/>
  <c r="J76" i="45"/>
  <c r="K76" i="45"/>
  <c r="H77" i="45"/>
  <c r="J77" i="45"/>
  <c r="K77" i="45"/>
  <c r="H78" i="45"/>
  <c r="J78" i="45"/>
  <c r="K78" i="45"/>
  <c r="H80" i="45"/>
  <c r="J80" i="45"/>
  <c r="K80" i="45"/>
  <c r="H81" i="45"/>
  <c r="J81" i="45"/>
  <c r="K81" i="45"/>
  <c r="H82" i="45"/>
  <c r="J82" i="45"/>
  <c r="K82" i="45"/>
  <c r="H83" i="45"/>
  <c r="J83" i="45"/>
  <c r="K83" i="45"/>
  <c r="H84" i="45"/>
  <c r="I84" i="45"/>
  <c r="K84" i="45"/>
  <c r="H85" i="45"/>
  <c r="J85" i="45"/>
  <c r="K85" i="45"/>
  <c r="H86" i="45"/>
  <c r="I86" i="45"/>
  <c r="J86" i="45"/>
  <c r="K86" i="45"/>
  <c r="H87" i="45"/>
  <c r="J87" i="45"/>
  <c r="K87" i="45"/>
  <c r="C88" i="45"/>
  <c r="D88" i="45"/>
  <c r="F88" i="45"/>
  <c r="G88" i="45"/>
  <c r="Q88" i="45"/>
  <c r="H89" i="45"/>
  <c r="K89" i="45"/>
  <c r="H90" i="45"/>
  <c r="J90" i="45"/>
  <c r="K90" i="45"/>
  <c r="H91" i="45"/>
  <c r="J91" i="45"/>
  <c r="K91" i="45"/>
  <c r="H92" i="45"/>
  <c r="I92" i="45"/>
  <c r="J92" i="45"/>
  <c r="K92" i="45"/>
  <c r="H93" i="45"/>
  <c r="C99" i="45"/>
  <c r="D99" i="45"/>
  <c r="E99" i="45"/>
  <c r="L99" i="45"/>
  <c r="F99" i="45"/>
  <c r="H103" i="45"/>
  <c r="I103" i="45"/>
  <c r="J103" i="45"/>
  <c r="K103" i="45"/>
  <c r="H104" i="45"/>
  <c r="I104" i="45"/>
  <c r="J104" i="45"/>
  <c r="K104" i="45"/>
  <c r="H108" i="45"/>
  <c r="J108" i="45"/>
  <c r="K108" i="45"/>
  <c r="H109" i="45"/>
  <c r="J109" i="45"/>
  <c r="K109" i="45"/>
  <c r="H110" i="45"/>
  <c r="I110" i="45"/>
  <c r="J110" i="45"/>
  <c r="K110" i="45"/>
  <c r="H111" i="45"/>
  <c r="I111" i="45"/>
  <c r="J111" i="45"/>
  <c r="K111" i="45"/>
  <c r="H112" i="45"/>
  <c r="I112" i="45"/>
  <c r="J112" i="45"/>
  <c r="K112" i="45"/>
  <c r="H113" i="45"/>
  <c r="I113" i="45"/>
  <c r="J113" i="45"/>
  <c r="K113" i="45"/>
  <c r="H114" i="45"/>
  <c r="I114" i="45"/>
  <c r="J114" i="45"/>
  <c r="K114" i="45"/>
  <c r="H115" i="45"/>
  <c r="I115" i="45"/>
  <c r="J115" i="45"/>
  <c r="K115" i="45"/>
  <c r="H116" i="45"/>
  <c r="I116" i="45"/>
  <c r="J116" i="45"/>
  <c r="K116" i="45"/>
  <c r="H117" i="45"/>
  <c r="I117" i="45"/>
  <c r="K117" i="45"/>
  <c r="H118" i="45"/>
  <c r="I118" i="45"/>
  <c r="J118" i="45"/>
  <c r="K118" i="45"/>
  <c r="H119" i="45"/>
  <c r="I119" i="45"/>
  <c r="K119" i="45"/>
  <c r="H120" i="45"/>
  <c r="I120" i="45"/>
  <c r="J120" i="45"/>
  <c r="K120" i="45"/>
  <c r="C106" i="45"/>
  <c r="H122" i="45"/>
  <c r="I122" i="45"/>
  <c r="K122" i="45"/>
  <c r="H125" i="45"/>
  <c r="K125" i="45"/>
  <c r="H126" i="45"/>
  <c r="J126" i="45"/>
  <c r="K126" i="45"/>
  <c r="H127" i="45"/>
  <c r="J127" i="45"/>
  <c r="K127" i="45"/>
  <c r="H128" i="45"/>
  <c r="I128" i="45"/>
  <c r="J128" i="45"/>
  <c r="K128" i="45"/>
  <c r="H129" i="45"/>
  <c r="I129" i="45"/>
  <c r="J129" i="45"/>
  <c r="K129" i="45"/>
  <c r="H130" i="45"/>
  <c r="H131" i="45"/>
  <c r="J131" i="45"/>
  <c r="K131" i="45"/>
  <c r="H132" i="45"/>
  <c r="I132" i="45"/>
  <c r="J132" i="45"/>
  <c r="K132" i="45"/>
  <c r="H133" i="45"/>
  <c r="J133" i="45"/>
  <c r="K133" i="45"/>
  <c r="H134" i="45"/>
  <c r="J134" i="45"/>
  <c r="K134" i="45"/>
  <c r="H135" i="45"/>
  <c r="J135" i="45"/>
  <c r="K135" i="45"/>
  <c r="H136" i="45"/>
  <c r="I136" i="45"/>
  <c r="J136" i="45"/>
  <c r="K136" i="45"/>
  <c r="D137" i="45"/>
  <c r="D106" i="45"/>
  <c r="H138" i="45"/>
  <c r="J138" i="45"/>
  <c r="K138" i="45"/>
  <c r="H139" i="45"/>
  <c r="J139" i="45"/>
  <c r="K139" i="45"/>
  <c r="H140" i="45"/>
  <c r="J140" i="45"/>
  <c r="K140" i="45"/>
  <c r="H141" i="45"/>
  <c r="J141" i="45"/>
  <c r="K141" i="45"/>
  <c r="H142" i="45"/>
  <c r="J142" i="45"/>
  <c r="K142" i="45"/>
  <c r="H143" i="45"/>
  <c r="J143" i="45"/>
  <c r="K143" i="45"/>
  <c r="H144" i="45"/>
  <c r="J144" i="45"/>
  <c r="K144" i="45"/>
  <c r="H145" i="45"/>
  <c r="J145" i="45"/>
  <c r="K145" i="45"/>
  <c r="H146" i="45"/>
  <c r="J146" i="45"/>
  <c r="K146" i="45"/>
  <c r="H147" i="45"/>
  <c r="J147" i="45"/>
  <c r="K147" i="45"/>
  <c r="H148" i="45"/>
  <c r="J148" i="45"/>
  <c r="K148" i="45"/>
  <c r="C149" i="45"/>
  <c r="D149" i="45"/>
  <c r="E149" i="45"/>
  <c r="F149" i="45"/>
  <c r="G149" i="45"/>
  <c r="H149" i="45"/>
  <c r="H150" i="45"/>
  <c r="K150" i="45"/>
  <c r="H151" i="45"/>
  <c r="J151" i="45"/>
  <c r="K151" i="45"/>
  <c r="H152" i="45"/>
  <c r="K152" i="45"/>
  <c r="C158" i="45"/>
  <c r="I158" i="45"/>
  <c r="H160" i="45"/>
  <c r="I160" i="45"/>
  <c r="J160" i="45"/>
  <c r="K160" i="45"/>
  <c r="L160" i="45"/>
  <c r="N160" i="45"/>
  <c r="O160" i="45"/>
  <c r="H161" i="45"/>
  <c r="I161" i="45"/>
  <c r="H162" i="45"/>
  <c r="J162" i="45"/>
  <c r="K162" i="45"/>
  <c r="H163" i="45"/>
  <c r="I163" i="45"/>
  <c r="J163" i="45"/>
  <c r="K163" i="45"/>
  <c r="H164" i="45"/>
  <c r="J164" i="45"/>
  <c r="K164" i="45"/>
  <c r="H165" i="45"/>
  <c r="I165" i="45"/>
  <c r="J165" i="45"/>
  <c r="K165" i="45"/>
  <c r="H166" i="45"/>
  <c r="I166" i="45"/>
  <c r="J166" i="45"/>
  <c r="K166" i="45"/>
  <c r="L166" i="45"/>
  <c r="H167" i="45"/>
  <c r="I167" i="45"/>
  <c r="J167" i="45"/>
  <c r="K167" i="45"/>
  <c r="H168" i="45"/>
  <c r="I168" i="45"/>
  <c r="J168" i="45"/>
  <c r="H169" i="45"/>
  <c r="I169" i="45"/>
  <c r="K169" i="45"/>
  <c r="H170" i="45"/>
  <c r="I170" i="45"/>
  <c r="K170" i="45"/>
  <c r="H171" i="45"/>
  <c r="I171" i="45"/>
  <c r="J171" i="45"/>
  <c r="K171" i="45"/>
  <c r="H172" i="45"/>
  <c r="J172" i="45"/>
  <c r="K172" i="45"/>
  <c r="H175" i="45"/>
  <c r="K175" i="45"/>
  <c r="H176" i="45"/>
  <c r="K176" i="45"/>
  <c r="H179" i="45"/>
  <c r="H180" i="45"/>
  <c r="K180" i="45"/>
  <c r="H181" i="45"/>
  <c r="H183" i="45"/>
  <c r="K183" i="45"/>
  <c r="H187" i="45"/>
  <c r="J187" i="45"/>
  <c r="K187" i="45"/>
  <c r="H189" i="45"/>
  <c r="K189" i="45"/>
  <c r="H190" i="45"/>
  <c r="J190" i="45"/>
  <c r="K190" i="45"/>
  <c r="H191" i="45"/>
  <c r="J191" i="45"/>
  <c r="K191" i="45"/>
  <c r="K193" i="45"/>
  <c r="H194" i="45"/>
  <c r="I194" i="45"/>
  <c r="J194" i="45"/>
  <c r="K194" i="45"/>
  <c r="H196" i="45"/>
  <c r="I196" i="45"/>
  <c r="J196" i="45"/>
  <c r="K196" i="45"/>
  <c r="H197" i="45"/>
  <c r="I197" i="45"/>
  <c r="J197" i="45"/>
  <c r="K197" i="45"/>
  <c r="H198" i="45"/>
  <c r="J198" i="45"/>
  <c r="K198" i="45"/>
  <c r="H199" i="45"/>
  <c r="K199" i="45"/>
  <c r="K200" i="45"/>
  <c r="H201" i="45"/>
  <c r="K201" i="45"/>
  <c r="H202" i="45"/>
  <c r="I202" i="45"/>
  <c r="J202" i="45"/>
  <c r="K202" i="45"/>
  <c r="H203" i="45"/>
  <c r="J203" i="45"/>
  <c r="K203" i="45"/>
  <c r="H204" i="45"/>
  <c r="J204" i="45"/>
  <c r="K204" i="45"/>
  <c r="H205" i="45"/>
  <c r="J205" i="45"/>
  <c r="K205" i="45"/>
  <c r="D284" i="45"/>
  <c r="F284" i="45"/>
  <c r="G284" i="45"/>
  <c r="I284" i="45"/>
  <c r="I49" i="45"/>
  <c r="H62" i="45"/>
  <c r="C59" i="45"/>
  <c r="H59" i="45"/>
  <c r="I59" i="45"/>
  <c r="I62" i="45"/>
  <c r="C16" i="45"/>
  <c r="I16" i="45"/>
  <c r="I19" i="45"/>
  <c r="P88" i="45"/>
  <c r="I35" i="45"/>
  <c r="K62" i="45"/>
  <c r="H47" i="45"/>
  <c r="K18" i="45"/>
  <c r="K149" i="45"/>
  <c r="K49" i="45"/>
  <c r="J28" i="45"/>
  <c r="K211" i="45"/>
  <c r="H96" i="45"/>
  <c r="I47" i="45"/>
  <c r="I65" i="45"/>
  <c r="K23" i="45"/>
  <c r="H211" i="45"/>
  <c r="J49" i="45"/>
  <c r="E283" i="45"/>
  <c r="M284" i="45"/>
  <c r="J211" i="45"/>
  <c r="G273" i="45"/>
  <c r="H273" i="45"/>
  <c r="L47" i="45"/>
  <c r="L49" i="45"/>
  <c r="F283" i="45"/>
  <c r="F340" i="45"/>
  <c r="H28" i="45"/>
  <c r="K40" i="45"/>
  <c r="M26" i="45"/>
  <c r="K59" i="45"/>
  <c r="J273" i="45"/>
  <c r="I213" i="45"/>
  <c r="J65" i="45"/>
  <c r="H65" i="45"/>
  <c r="G33" i="45"/>
  <c r="L23" i="45"/>
  <c r="H35" i="45"/>
  <c r="K35" i="45"/>
  <c r="K226" i="45"/>
  <c r="H213" i="45"/>
  <c r="I121" i="45"/>
  <c r="J121" i="45"/>
  <c r="H121" i="45"/>
  <c r="J40" i="45"/>
  <c r="L32" i="45"/>
  <c r="J35" i="45"/>
  <c r="K65" i="45"/>
  <c r="H284" i="45"/>
  <c r="K121" i="45"/>
  <c r="M99" i="45"/>
  <c r="P93" i="45"/>
  <c r="M40" i="45"/>
  <c r="H274" i="45"/>
  <c r="K274" i="45"/>
  <c r="H248" i="45"/>
  <c r="K279" i="45"/>
  <c r="K237" i="45"/>
  <c r="J218" i="45"/>
  <c r="K212" i="45"/>
  <c r="Q33" i="45"/>
  <c r="N33" i="45"/>
  <c r="N35" i="45"/>
  <c r="I28" i="45"/>
  <c r="K28" i="45"/>
  <c r="F155" i="45"/>
  <c r="K168" i="45"/>
  <c r="K181" i="45"/>
  <c r="I181" i="45"/>
  <c r="J181" i="45"/>
  <c r="K182" i="45"/>
  <c r="H102" i="45"/>
  <c r="J102" i="45"/>
  <c r="K102" i="45"/>
  <c r="G99" i="45"/>
  <c r="Q93" i="45"/>
  <c r="Q40" i="45"/>
  <c r="O106" i="45"/>
  <c r="M107" i="45"/>
  <c r="J33" i="45"/>
  <c r="O33" i="45"/>
  <c r="L33" i="45"/>
  <c r="L35" i="45"/>
  <c r="K33" i="45"/>
  <c r="O5" i="45"/>
  <c r="Q5" i="45"/>
  <c r="M5" i="45"/>
  <c r="J47" i="45"/>
  <c r="K47" i="45"/>
  <c r="H99" i="45"/>
  <c r="H279" i="45"/>
  <c r="J279" i="45"/>
  <c r="H237" i="45"/>
  <c r="H223" i="45"/>
  <c r="K221" i="45"/>
  <c r="I218" i="45"/>
  <c r="N284" i="45"/>
  <c r="J221" i="45"/>
  <c r="J20" i="45"/>
  <c r="J179" i="45"/>
  <c r="K179" i="45"/>
  <c r="H158" i="45"/>
  <c r="J59" i="45"/>
  <c r="G16" i="45"/>
  <c r="H16" i="45"/>
  <c r="J16" i="45"/>
  <c r="P59" i="45"/>
  <c r="F153" i="45"/>
  <c r="H26" i="45"/>
  <c r="K307" i="45"/>
  <c r="J307" i="45"/>
  <c r="L40" i="45"/>
  <c r="O40" i="45"/>
  <c r="J56" i="45"/>
  <c r="I56" i="45"/>
  <c r="G55" i="45"/>
  <c r="K56" i="45"/>
  <c r="N99" i="45"/>
  <c r="D153" i="45"/>
  <c r="D207" i="45"/>
  <c r="K249" i="45"/>
  <c r="J249" i="45"/>
  <c r="Q104" i="45"/>
  <c r="J223" i="45"/>
  <c r="J237" i="45"/>
  <c r="I237" i="45"/>
  <c r="M47" i="45"/>
  <c r="M49" i="45"/>
  <c r="J130" i="45"/>
  <c r="K130" i="45"/>
  <c r="I33" i="45"/>
  <c r="H33" i="45"/>
  <c r="J12" i="45"/>
  <c r="H12" i="45"/>
  <c r="J232" i="45"/>
  <c r="K232" i="45"/>
  <c r="H232" i="45"/>
  <c r="I232" i="45"/>
  <c r="K12" i="45"/>
  <c r="O93" i="45"/>
  <c r="H88" i="45"/>
  <c r="I88" i="45"/>
  <c r="K67" i="45"/>
  <c r="J67" i="45"/>
  <c r="I67" i="45"/>
  <c r="E153" i="45"/>
  <c r="I26" i="45"/>
  <c r="N26" i="45"/>
  <c r="N28" i="45"/>
  <c r="J161" i="45"/>
  <c r="K161" i="45"/>
  <c r="E158" i="45"/>
  <c r="I101" i="45"/>
  <c r="K101" i="45"/>
  <c r="H101" i="45"/>
  <c r="I137" i="45"/>
  <c r="K137" i="45"/>
  <c r="J137" i="45"/>
  <c r="K16" i="45"/>
  <c r="K88" i="45"/>
  <c r="K268" i="45"/>
  <c r="I99" i="45"/>
  <c r="J26" i="45"/>
  <c r="P33" i="45"/>
  <c r="J99" i="45"/>
  <c r="I249" i="45"/>
  <c r="H249" i="45"/>
  <c r="G283" i="45"/>
  <c r="J88" i="45"/>
  <c r="K99" i="45"/>
  <c r="O26" i="45"/>
  <c r="Q26" i="45"/>
  <c r="K26" i="45"/>
  <c r="I40" i="45"/>
  <c r="L86" i="45"/>
  <c r="K273" i="45"/>
  <c r="I12" i="45"/>
  <c r="G106" i="45"/>
  <c r="H40" i="45"/>
  <c r="I273" i="45"/>
  <c r="K213" i="45"/>
  <c r="H56" i="45"/>
  <c r="E284" i="45"/>
  <c r="J284" i="45"/>
  <c r="H67" i="45"/>
  <c r="L153" i="45"/>
  <c r="J149" i="45"/>
  <c r="J96" i="45"/>
  <c r="K96" i="45"/>
  <c r="R74" i="45"/>
  <c r="K218" i="45"/>
  <c r="H218" i="45"/>
  <c r="I223" i="45"/>
  <c r="K223" i="45"/>
  <c r="P70" i="45"/>
  <c r="P67" i="45"/>
  <c r="I241" i="45"/>
  <c r="C283" i="45"/>
  <c r="C340" i="45"/>
  <c r="C341" i="45"/>
  <c r="C348" i="45"/>
  <c r="G174" i="45"/>
  <c r="J174" i="45"/>
  <c r="I174" i="45"/>
  <c r="K174" i="45"/>
  <c r="H174" i="45"/>
  <c r="H106" i="45"/>
  <c r="J106" i="45"/>
  <c r="N107" i="45"/>
  <c r="K106" i="45"/>
  <c r="Q106" i="45"/>
  <c r="I106" i="45"/>
  <c r="E340" i="45"/>
  <c r="J55" i="45"/>
  <c r="K55" i="45"/>
  <c r="I55" i="45"/>
  <c r="Q55" i="45"/>
  <c r="G153" i="45"/>
  <c r="H55" i="45"/>
  <c r="F207" i="45"/>
  <c r="F157" i="45"/>
  <c r="K284" i="45"/>
  <c r="D209" i="45"/>
  <c r="D341" i="45"/>
  <c r="E157" i="45"/>
  <c r="E207" i="45"/>
  <c r="G340" i="45"/>
  <c r="J283" i="45"/>
  <c r="I283" i="45"/>
  <c r="K283" i="45"/>
  <c r="H283" i="45"/>
  <c r="J158" i="45"/>
  <c r="K158" i="45"/>
  <c r="E209" i="45"/>
  <c r="E341" i="45"/>
  <c r="E348" i="45"/>
  <c r="F209" i="45"/>
  <c r="F341" i="45"/>
  <c r="J153" i="45"/>
  <c r="G207" i="45"/>
  <c r="I153" i="45"/>
  <c r="K153" i="45"/>
  <c r="H153" i="45"/>
  <c r="J340" i="45"/>
  <c r="K340" i="45"/>
  <c r="H340" i="45"/>
  <c r="I340" i="45"/>
  <c r="I207" i="45"/>
  <c r="G209" i="45"/>
  <c r="J207" i="45"/>
  <c r="G341" i="45"/>
  <c r="K207" i="45"/>
  <c r="H207" i="45"/>
  <c r="I341" i="45"/>
  <c r="J341" i="45"/>
  <c r="H341" i="45"/>
  <c r="G348" i="45"/>
  <c r="K341" i="45"/>
</calcChain>
</file>

<file path=xl/sharedStrings.xml><?xml version="1.0" encoding="utf-8"?>
<sst xmlns="http://schemas.openxmlformats.org/spreadsheetml/2006/main" count="482" uniqueCount="357">
  <si>
    <t>Звіт</t>
  </si>
  <si>
    <t xml:space="preserve">про виконання міського бюджету по видатках </t>
  </si>
  <si>
    <t>Органи місцевого самоврядування</t>
  </si>
  <si>
    <t>в тому числі:</t>
  </si>
  <si>
    <t>- видатки на  утримання органів місцевого самоврядування</t>
  </si>
  <si>
    <t>видатки на утримання органів місцевого самоврядування із фонду на виконання звернень депутатів та доручень виборців</t>
  </si>
  <si>
    <t>Освіта</t>
  </si>
  <si>
    <t>- видатки на  утримання установ освіти</t>
  </si>
  <si>
    <t>- видатки на оздоровлення та відпочинку дітей</t>
  </si>
  <si>
    <t>Охорона здоров'я</t>
  </si>
  <si>
    <t>в.т.ч.</t>
  </si>
  <si>
    <t>видатки на утримання установ охорони здоров'я</t>
  </si>
  <si>
    <t>Соціальний захист та соціальне забезпечення (без субвенцій із Державного бюджету)</t>
  </si>
  <si>
    <t>видатки на соціальний захист</t>
  </si>
  <si>
    <t>видатки на соціальний захист із фонду на виконання звернень депутатів та доручень виборців</t>
  </si>
  <si>
    <t>Житлово-комунальне господарство</t>
  </si>
  <si>
    <t xml:space="preserve"> в тому числі:</t>
  </si>
  <si>
    <t>- видатки на утримання житлово-комунального господарства</t>
  </si>
  <si>
    <t>- видатки на утримання житлово-комунального господарства із фонду на виконання звернень депутатів та доручень виборців</t>
  </si>
  <si>
    <t>Культура</t>
  </si>
  <si>
    <t>- видатки на  утримання установ культури</t>
  </si>
  <si>
    <t>- видатки, для проведення заходів пов'язаних з відзначенням державних, релігійних свят</t>
  </si>
  <si>
    <t>Засоби масової інформації</t>
  </si>
  <si>
    <t>Фізична культура і спорт</t>
  </si>
  <si>
    <t>в т.ч.:</t>
  </si>
  <si>
    <t>- спортивні школи</t>
  </si>
  <si>
    <t>- програма економічного і соціального розвитку</t>
  </si>
  <si>
    <t>Обслуговування внутрішнього боргу</t>
  </si>
  <si>
    <t>Резервний фонд</t>
  </si>
  <si>
    <t>Інші субвенції</t>
  </si>
  <si>
    <t>Інші видатки</t>
  </si>
  <si>
    <t>- примусове виконання рішень суду</t>
  </si>
  <si>
    <t>- виконання рішень судів, стягнення судових витрат</t>
  </si>
  <si>
    <t>Внутрішнє кредитування</t>
  </si>
  <si>
    <t>- надання пільгового довгострокового кредиту громадянам на будівництво (реконструкцію) та придбання житла</t>
  </si>
  <si>
    <t>- надання  пільгового кредиту  індивідуальним сільським забудовникам</t>
  </si>
  <si>
    <t xml:space="preserve"> - відшкодування пільг </t>
  </si>
  <si>
    <t xml:space="preserve"> - відшкодування  субсидій</t>
  </si>
  <si>
    <t xml:space="preserve"> - видатки на утримання дітей-сиріт в прийомних сім'ях</t>
  </si>
  <si>
    <t xml:space="preserve"> - компенсація за пільговий проїзд окремих категорій громадян</t>
  </si>
  <si>
    <t>Субвенція з обласного бюджету та інших бюджетів</t>
  </si>
  <si>
    <t xml:space="preserve"> - витрати на поховання учасникам бойових дій</t>
  </si>
  <si>
    <t>- пільги на медичне обслуговування громадян, які постраждали внаслідок Чорнобильської катастрофи</t>
  </si>
  <si>
    <t>Всього видатків по загальному фонду</t>
  </si>
  <si>
    <t>Спеціальний фонд</t>
  </si>
  <si>
    <t>Видатки за рахунок власних надходжень бюджетних установ та організацій</t>
  </si>
  <si>
    <t>Разом видатків спеціального фонду з власних надходжень:</t>
  </si>
  <si>
    <t xml:space="preserve"> </t>
  </si>
  <si>
    <t>Субвенції з державного, обласного і інших бюджетів (спеціальний фонд):</t>
  </si>
  <si>
    <t>Разом видатків спеціального фонду</t>
  </si>
  <si>
    <t>Всього видатків загального і спеціального фондів</t>
  </si>
  <si>
    <t>- видатки на  утримання установ культури з фонду на виконання звернень депутатів та доручень виборців</t>
  </si>
  <si>
    <t>Утримання клубів підлітків за місцем проживання</t>
  </si>
  <si>
    <t xml:space="preserve"> Видатки бюджету загального фонду</t>
  </si>
  <si>
    <t>-спортивні заходи</t>
  </si>
  <si>
    <t>видатки на утримання установ освіти із фонду на виконання звернень депутатів та доручень виборців</t>
  </si>
  <si>
    <t>видатки на утримання установ охорони здоров"я із фонду на виконання звернень депутатів та доручень виборців</t>
  </si>
  <si>
    <t>- видатки на  утримання установ культури із фонду на виконання звернень депутатів та доручень виборців</t>
  </si>
  <si>
    <t>- видатки на  утримання установ фізичної культури із фонду на виконання звернень депутатів та доручень виборців</t>
  </si>
  <si>
    <t xml:space="preserve">видатки на соціальний захист із резервного фонду </t>
  </si>
  <si>
    <t>Додаток 2</t>
  </si>
  <si>
    <t>до рішення ___________сесії міської ради</t>
  </si>
  <si>
    <t>абсолютна +;-</t>
  </si>
  <si>
    <t>відносна %</t>
  </si>
  <si>
    <t>Динаміка виконання до відповідного періоду минулого року</t>
  </si>
  <si>
    <t>10</t>
  </si>
  <si>
    <t>Разом видатки</t>
  </si>
  <si>
    <t>Секретар міської ради</t>
  </si>
  <si>
    <t>Муніципальна програма " Духовне життя на 2013-2015 р.р. "</t>
  </si>
  <si>
    <t>Відшкодування комунальних послуг за призовну дільницю</t>
  </si>
  <si>
    <t>- видатки на  утримання установ фізкультури з фонду на виконання звернень депутатів та доручень виборців</t>
  </si>
  <si>
    <t>- видатки на  утримання установ охорони здоровя з фонду на виконання звернень депутатів та доручень виборців</t>
  </si>
  <si>
    <t>від _______________№______</t>
  </si>
  <si>
    <t xml:space="preserve">- видатки на  утримання установ освіти з фонду на виконання звернень депутатів та доручень виборців </t>
  </si>
  <si>
    <t>Реверсна дотація</t>
  </si>
  <si>
    <t xml:space="preserve"> - державна допомога сім'ям з дітьми, малозабезпеченим сімям,інвалідам з дитинства, дітям-інвалідам, тимчасова допомога та  допомога по догляду за інвалідом 1 чи 11 гр. внаслідок психічного розладу.</t>
  </si>
  <si>
    <t>Медична субвенція з державного бюджету місцевим бюджетам</t>
  </si>
  <si>
    <t>Освітня субвенція з державного бюджету місцевим бюджетам</t>
  </si>
  <si>
    <t>Субвенції  з державного бюджету</t>
  </si>
  <si>
    <t>субвенція з с.Хриплин на утримання лікарської амбулаторії</t>
  </si>
  <si>
    <t>субвенція з с.Угорники на утримання віділення сімейної медицини</t>
  </si>
  <si>
    <t>11</t>
  </si>
  <si>
    <t>Програма розвитку місцевого самоврядування та громадянського суспільства в м.Івано-Франківську на 2016-2020 роки</t>
  </si>
  <si>
    <t>Субвенція с.Хриплин для Хриплинської ЗОШ</t>
  </si>
  <si>
    <t>Субвенція с.Крихівці для Крихівецької ЗОШ</t>
  </si>
  <si>
    <t>Міська цільова програма "Партиципаторне бюджетування (бюджет участі) у м.Івано-Франківськ"</t>
  </si>
  <si>
    <t>Комплексна програма запобігання виникненню надзвичайних ситуації природного і техногенного характеру та підвищення рівня готовності аварійно-рятувальної служби на 2016-2020 роки</t>
  </si>
  <si>
    <t xml:space="preserve"> Комплексна цільова соціальна програма розвитку цивільного захисту населення та території міста Івано-Франківська від надзвичайних ситуацій природного і техногенного характеру на 2016-2020 роки"</t>
  </si>
  <si>
    <t>- Програма розвитку місцевого самоврядування та громадянського суспільства в м.Івано-Франківську на 2016-2020 роки</t>
  </si>
  <si>
    <t>О.  Савчук</t>
  </si>
  <si>
    <t>Найменування видатків</t>
  </si>
  <si>
    <t>1000</t>
  </si>
  <si>
    <t>0180</t>
  </si>
  <si>
    <t>Державне управління</t>
  </si>
  <si>
    <t>2000</t>
  </si>
  <si>
    <t>3000</t>
  </si>
  <si>
    <t xml:space="preserve">Соціальний захист та соціальне забезпечення  </t>
  </si>
  <si>
    <t>4000</t>
  </si>
  <si>
    <t>Культура і мистецтво</t>
  </si>
  <si>
    <t>5000</t>
  </si>
  <si>
    <t>6000</t>
  </si>
  <si>
    <t xml:space="preserve">Житлово-комунальне господарство  </t>
  </si>
  <si>
    <t>Внески до статутного капіталу суб’єктів господарювання</t>
  </si>
  <si>
    <t>Видатки не відведені до основних груп</t>
  </si>
  <si>
    <t>1020</t>
  </si>
  <si>
    <t>Придбання книг для бібліотеки с. Вовчинець (субвенція з с. Вовчинець)</t>
  </si>
  <si>
    <t>Будівництво каналізаційної мережі в с. Хриплин Івано-Франківської міської ради (ПВР+роботи) (субвенція з с. Хриплин)</t>
  </si>
  <si>
    <t>Код ТПКВКМБ /ТКВКБМС</t>
  </si>
  <si>
    <t>3090</t>
  </si>
  <si>
    <t>3050</t>
  </si>
  <si>
    <t>8600</t>
  </si>
  <si>
    <t>0100,        1000,     2000,         3000,      4000,    5000,          8600</t>
  </si>
  <si>
    <t xml:space="preserve">Програма легалізації найманої праці та забезпечення кваліфікованими кадрами підприємств м. Івано-Франківська на 2017-2020 р.р.  </t>
  </si>
  <si>
    <t>Фонд на виконання звернень депутатів та доручень виборців</t>
  </si>
  <si>
    <t>2146</t>
  </si>
  <si>
    <t xml:space="preserve"> Відшкодування вартості лікарських засобів для лікування окремих захворювань</t>
  </si>
  <si>
    <t>3230</t>
  </si>
  <si>
    <t>3041-3047,3082,      3083</t>
  </si>
  <si>
    <t>3012,3022</t>
  </si>
  <si>
    <t>3011, 3021</t>
  </si>
  <si>
    <t>3242</t>
  </si>
  <si>
    <t>0160</t>
  </si>
  <si>
    <t>7300</t>
  </si>
  <si>
    <t>Будівництво та регіональний розвиток</t>
  </si>
  <si>
    <t>Інші програми та заходи, пов'язані з економічною діяльністю</t>
  </si>
  <si>
    <t>8300</t>
  </si>
  <si>
    <t xml:space="preserve">Охорона навколишнього природного середовища 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</si>
  <si>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</si>
  <si>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</si>
  <si>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</si>
  <si>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</si>
  <si>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Субвенція на капітальний ремонт території с. Микитинці</t>
  </si>
  <si>
    <t>Субвенція на капітальний ремонт території с. Угорники</t>
  </si>
  <si>
    <t>Субвенція на капітальний ремонт території с. Хриплин</t>
  </si>
  <si>
    <t>Субвенція на капітальний ремонт території с.  Крихівці</t>
  </si>
  <si>
    <t>Субвенція на капітальний ремонт території с. Вовчинці</t>
  </si>
  <si>
    <t>Фонд міської ради на виконання депутатських повноважень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</si>
  <si>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</si>
  <si>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</si>
  <si>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7321</t>
  </si>
  <si>
    <t>Придбання м’ясорубки для ДНЗ №32 «Солов’ятко» (субвенція з с. Угорники)</t>
  </si>
  <si>
    <t>Придбання предметів і матеріалів довгострокового користування для ДНЗ №25 «Янголятко» (субвенція з с. Микитинці)</t>
  </si>
  <si>
    <t>Придбання комп’ютерної техніки для МП №3 (субвенція з с. Угорники)</t>
  </si>
  <si>
    <t>Розширення загальноосвітньої школи І-ІІ ступенів в с.Хриплин  (І п.к.) (субвенція з с. Хриплин)</t>
  </si>
  <si>
    <t>6030</t>
  </si>
  <si>
    <t>Фільтратопровід від полігону ТПВ в районі с. Рибне до точки врізки в міську каналізацію в м. Івано-Франківську</t>
  </si>
  <si>
    <t>8312</t>
  </si>
  <si>
    <t>9770</t>
  </si>
  <si>
    <t>1010</t>
  </si>
  <si>
    <t>2113</t>
  </si>
  <si>
    <t>4030</t>
  </si>
  <si>
    <t>7310</t>
  </si>
  <si>
    <t>3140</t>
  </si>
  <si>
    <t>3132</t>
  </si>
  <si>
    <t>видатки на утримання установ охорони здоров"я із  резервного фонду</t>
  </si>
  <si>
    <t>- видатки на утримання житлово-комунального господарства із резервного фонду</t>
  </si>
  <si>
    <t>1100</t>
  </si>
  <si>
    <t xml:space="preserve"> Надання спеціальної освіти школами естетичного виховання (музичними, художніми, хореографічними, театральними, хоровими, мистецькими)</t>
  </si>
  <si>
    <t>8400</t>
  </si>
  <si>
    <t>3033,3035,  3036</t>
  </si>
  <si>
    <t>3210</t>
  </si>
  <si>
    <t>7000</t>
  </si>
  <si>
    <t>Економічна діяльність</t>
  </si>
  <si>
    <t>7130</t>
  </si>
  <si>
    <t>Здійснення  заходів із землеустрою</t>
  </si>
  <si>
    <t>7350</t>
  </si>
  <si>
    <t xml:space="preserve"> Розроблення схем планування та забудови територій (містобудівної документації)</t>
  </si>
  <si>
    <t>7370</t>
  </si>
  <si>
    <t>7610</t>
  </si>
  <si>
    <t>-  Сприяння розвитку малого та середнього підприємництва</t>
  </si>
  <si>
    <t>7422</t>
  </si>
  <si>
    <t xml:space="preserve"> Регулювання цін на послуги місцевого наземного електротранспорту</t>
  </si>
  <si>
    <t>7622</t>
  </si>
  <si>
    <t>Реалізація програм і заходів в галузі туризму та курортів</t>
  </si>
  <si>
    <t>7640</t>
  </si>
  <si>
    <t xml:space="preserve"> Заходи з енергозбереження</t>
  </si>
  <si>
    <t>7680</t>
  </si>
  <si>
    <t>Членські внески до асоціацій органів місцевого самоврядування</t>
  </si>
  <si>
    <t>7693</t>
  </si>
  <si>
    <t>8700</t>
  </si>
  <si>
    <t>8110</t>
  </si>
  <si>
    <t xml:space="preserve"> Заходи із запобігання та ліквідації надзвичайних ситуацій та наслідків стихійного лиха</t>
  </si>
  <si>
    <t>8220</t>
  </si>
  <si>
    <t>8130</t>
  </si>
  <si>
    <t>Забезпечення діяльності місцевої пожежної охорони</t>
  </si>
  <si>
    <t>8210</t>
  </si>
  <si>
    <t>Муніципальні формування з охорони громадського порядку</t>
  </si>
  <si>
    <t>9110</t>
  </si>
  <si>
    <t>9800</t>
  </si>
  <si>
    <t>Інша діяльність у сфері державного управління</t>
  </si>
  <si>
    <t>Субвенція  с. Микитинці для ДНЗ №25 "Янголятко"</t>
  </si>
  <si>
    <t>Субвенція с. Вовчинець для Вовчинецької ЗОШ на придбання засобів навчання</t>
  </si>
  <si>
    <t>Субвенція с.Микитинці для Микитинецької ЗОШ</t>
  </si>
  <si>
    <t>субвенція з с.Микитинці на утримання віділення сімейної медицини</t>
  </si>
  <si>
    <t xml:space="preserve">Затверджено міською радою на 2019 рік </t>
  </si>
  <si>
    <t xml:space="preserve">Затверджено міською радою з урахуванням змін на 2019 рік </t>
  </si>
  <si>
    <t>Відсоток виконання  до затвердженої суми на 2019 рік із врахуванням змін</t>
  </si>
  <si>
    <t>Відхилення до затвердженої суми  на  2019 рік із врахуванням змін</t>
  </si>
  <si>
    <t xml:space="preserve"> Організація та проведення громадських робіт (Програма зайнятості населення міста Івано-Франківська на період до 2017 року</t>
  </si>
  <si>
    <t>Комплексна програма залучення  інвестицій в економіку  міста Івано-Франківська на 2016-2020 роки</t>
  </si>
  <si>
    <t>Програма промоції міста Івно-Франківська на 2016-2020 роки</t>
  </si>
  <si>
    <t>вт.ч</t>
  </si>
  <si>
    <t>Інші видатки (резервний фонд)</t>
  </si>
  <si>
    <t>- видатки на утримання КП "Муніципальна варта"</t>
  </si>
  <si>
    <t>Газета " Західний курєр"</t>
  </si>
  <si>
    <t>Утримання відділів: проектів та кошторисних розрахунків, державних закупівель</t>
  </si>
  <si>
    <t>Сектор нагляду муніципальної інспекції з благоустрою</t>
  </si>
  <si>
    <t>8103</t>
  </si>
  <si>
    <t>8106</t>
  </si>
  <si>
    <t>250404</t>
  </si>
  <si>
    <t>Субвенція на фінансування Програм-переможців Всеукраїнського конкурсу проектів та програм розвитку місцевого самоврядування</t>
  </si>
  <si>
    <t xml:space="preserve">Інші видатки( надбавка ветеранам ОУН-УПА, матеріальні допомогидодаткові виплати бійцям--добровольцям, щомісячні виплати дітям до 18 років загиблих на Майдані </t>
  </si>
  <si>
    <t>субвенція з с.Микитинці на утримання ДНД</t>
  </si>
  <si>
    <t>субвенція з місцевого бюджету державному бюджету на виконання програм соціально-економічного розвитку регіонів( субвенція с. Вовчинець Комплексна програма профілактики злочинності  (прокуратура))</t>
  </si>
  <si>
    <t>- видатки на  утримання установ житлово-комунального господарства  з фонду на виконання звернень депутатів та доручень виборців</t>
  </si>
  <si>
    <t>Міська цільова  програма «Партиципаторне бюджетування (бюджет участі)  у м. Івано-Франківську»</t>
  </si>
  <si>
    <t>Муніципальна програма "Духовне життя на 2018-2019 роки"</t>
  </si>
  <si>
    <t>8420</t>
  </si>
  <si>
    <t xml:space="preserve"> інші заходи у сфері засобів масової інформації</t>
  </si>
  <si>
    <t>5062</t>
  </si>
  <si>
    <t>Програма розвитку електронного врядування Івано-Франківської МР на 2018-2019 роки</t>
  </si>
  <si>
    <t>Інші видатки (Міська цільова програма організації та відзначення в місті Івано-Франківську загальнодержавних, міських свят, державних пам'ятних дат, релігійних та історичних подій на 2018-2020 роки)</t>
  </si>
  <si>
    <t>КП "Простір Інноваційних Креацій "Палац"</t>
  </si>
  <si>
    <t>Програма розвитку системи надання адмін. послуг в м.ІФ на 2019-2022 роки</t>
  </si>
  <si>
    <t>субвенція з с.Микитинці на утримання бібліотеки</t>
  </si>
  <si>
    <t>фінансова підтримка засобів масової інформації</t>
  </si>
  <si>
    <t>8410</t>
  </si>
  <si>
    <t>Субвенція з державного бюджету на надання державної підтримки особам з особливими освітніми потребами</t>
  </si>
  <si>
    <t>Централізовані заходи з лікування хворих на цукровий та нецукровий діабет</t>
  </si>
  <si>
    <t>2144</t>
  </si>
  <si>
    <t>Субвенція з обласного бюджету для  ГО МФК " Прикарпаття"</t>
  </si>
  <si>
    <t>2111</t>
  </si>
  <si>
    <t>2112</t>
  </si>
  <si>
    <t>Субвенція з с. Микитинці для фінансування оплати за еленергію зовн. освітлення в с. Микитинці</t>
  </si>
  <si>
    <t>7412</t>
  </si>
  <si>
    <t xml:space="preserve"> Регулювання цін на послуги місцевого о автотранспорту</t>
  </si>
  <si>
    <t>Комплексна програма розвитку міжнародного та транскордоного  співробітництва м.Івано-Франківська на 2018-2022 р.р.</t>
  </si>
  <si>
    <t>Програма щодо співпраці між ПТНЗ та промисловими підприємствами і МСП міста</t>
  </si>
  <si>
    <t>Міжнародний проект "Управління та використання міської та природної культурної спадщини в містах Дунайського регіону (URBforDAN)в рамках гранової Дунайської транснаціональної програми</t>
  </si>
  <si>
    <t>Проект "Транскордонна зелена транспортна мережа" в рамках програми транскордонного співробіництва Угорщина-Словаччина_Румунія_Україна 2014-2020 рр.</t>
  </si>
  <si>
    <t xml:space="preserve">  Заходи та роботи з мобілізаційної підготовки місцевого значення (Цільова програма фінансування мобілізаційних заходів та оборонної роботи Івано-Франківської міської ради на 2019-2023р.р.)</t>
  </si>
  <si>
    <t>8230</t>
  </si>
  <si>
    <t>7400</t>
  </si>
  <si>
    <t>Транспорт та транспортна інфраструктура, дорожнє господарство</t>
  </si>
  <si>
    <t>8100</t>
  </si>
  <si>
    <t>Захист населення і територій від надзвичайних ситуацій техногенного та природного характеру</t>
  </si>
  <si>
    <t>8200</t>
  </si>
  <si>
    <t>Громадський порядок та безпека</t>
  </si>
  <si>
    <t>8820</t>
  </si>
  <si>
    <t>8830</t>
  </si>
  <si>
    <t>8880</t>
  </si>
  <si>
    <t>Пільгові довгострокові кредити молодим сім’ям та одиноким молодим громадян на будівництво/придбання житла та їх повернення</t>
  </si>
  <si>
    <t>Надання пільгових довгострокових кредитів молодим сім’ям та одиноким молодим громадянам на будівництво/придбання житла</t>
  </si>
  <si>
    <t>Повернення пільгових довгострокових кредитів, наданих молодим сім’ям та одиноким молодим громадянам на будівництво/ придбання житла</t>
  </si>
  <si>
    <t>Довгострокові кредити індивідуальним забудовникам житла на селі та їх повернення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</si>
  <si>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</si>
  <si>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</si>
  <si>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</si>
  <si>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</si>
  <si>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</si>
  <si>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7600</t>
  </si>
  <si>
    <t>Субвенція обласному бюджету для Івано-Франківського Геріатричного пансіонату на придбання обладнання</t>
  </si>
  <si>
    <t>Субвенція на розвиток села Колодіївки</t>
  </si>
  <si>
    <t>Програма підтримки та розвитку Микитинецької ЗШ (субвенція з с. Микитинці)</t>
  </si>
  <si>
    <t>Придбання засобів навчання в початковій школі Вовчинецької ЗШ (субвенція з с. Вовчинець)</t>
  </si>
  <si>
    <t>Субвенція з обласного бюджету на капітальний ремонт приміщень Івано-Франківської спеціалізованої школи І-ІІІ ступенів №5 з поглибленим вивченням німецької мови на вул. І. Франка в м. Івано-Франківськ</t>
  </si>
  <si>
    <t>Придбання україномовної літератури для бібліотеки-філії №12 с. Микитинці (субвенція з с. Микитинці)</t>
  </si>
  <si>
    <t>Субвенція з обласного бюджету на встановлення дитячого спортивного майданчика на вулиці Весняній в мікрорайоні Опришівці Івано-Франківської міської ради</t>
  </si>
  <si>
    <t>Субвенція з обласного бюджету на виконання програми «Духовне життя» на 2016 – 2020 роки (придбання будівельних матеріалів для ремонтно-будівельних робіт в церкву преображення Господнього в м. Івано-Франківську</t>
  </si>
  <si>
    <t>Субвенція з обласного бюджету Крихівецькій сільській раді по обласному конкурсу проектів та програм розвитку місцевого самоврядування</t>
  </si>
  <si>
    <t>за  І півріччя 2019 року</t>
  </si>
  <si>
    <t>Затверджено з урахуванням змін на І півріччя 2019 року</t>
  </si>
  <si>
    <t>Виконано за   І півріччя 2019 року</t>
  </si>
  <si>
    <t>Виконано за   І півріччя 2018 року</t>
  </si>
  <si>
    <t>Комплексна програма профілактики злочинності в місті Штаб</t>
  </si>
  <si>
    <t>- видатки на  будівництво та регіональний розвиток  з фонду на виконання звернень депутатів та доручень виборців</t>
  </si>
  <si>
    <t>Інші заходи, пов'язані з економічною діяльністю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</si>
  <si>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</si>
  <si>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Івано-Франківському обласному бюджету для співфінансування видатків на закупівлю сучасних меблів, музичних інструментів, комп’ютерного обладнання, мультимедійного контенту на забезпечення якісної, сучасної та доступної загальної середньої освіти «Нова українська школа»</t>
  </si>
  <si>
    <t>Субвенція на розвиток села Підлужжя</t>
  </si>
  <si>
    <t>Субвенція на розвиток села Добровляни</t>
  </si>
  <si>
    <t>Субвенція на розвиток села Черніїв</t>
  </si>
  <si>
    <t>Субвенція на розвиток села Підпечари</t>
  </si>
  <si>
    <t>Субвенція на розвиток села Узин</t>
  </si>
  <si>
    <t>Субвенція на нове будівництво каплички в урочищі Рінь с.Хриплин Івано-Франківської міської ради</t>
  </si>
  <si>
    <t>Субвенція обласному бюджету на виконання регіональної цільової програми «Духовне життя» на 2016 – 2020 роки (для ремонтно-будівельних робіт в церквах (а саме: с. Підлужжя – 100,0 тис. грн., с. Узин – 120,0 тис. грн., с. Колодіївка – 100,0 тис. грн., с. Добровляни – 100,0 тис. грн)</t>
  </si>
  <si>
    <t>Субвенція районному бюджету Галицької районної ради на соціально-економічний розвиток району</t>
  </si>
  <si>
    <t>Субвенція на капітальний ремонт благоустрою території Угорницька ЗШ (вул. Тополина, 22) с. Угорники</t>
  </si>
  <si>
    <t>Субвенція на особи з особливими освітніми потребами у закладах дошкільної освіти</t>
  </si>
  <si>
    <t>Придбання інтерактивних дощок для Микитинецької ЗШ (субвенція з с. Микитинці)</t>
  </si>
  <si>
    <t>Встановлення спортивного майданчика зі штучним покриттям на території Микитинецької ЗОШ (субвенція с. Микитинці)</t>
  </si>
  <si>
    <t>Субвенція на надання державної підтримки особам з особливими освітніми потребами у 2019 році</t>
  </si>
  <si>
    <t>Закупівля дидактичних матеріалів</t>
  </si>
  <si>
    <t>Субвенція з обласного бюджету на встановлення спортивного майданчика зі штучним покриттям на території Микитинецької ЗШ на вул. Просвіти в с. Микитинці (капітальний ремонт)</t>
  </si>
  <si>
    <t>Придбання книг для бібліотеки с. Хриплин (субвенція з с. Хриплин)</t>
  </si>
  <si>
    <t>Придбання книг для бібліотеки с. Крихівці (субвенція з с. Крихівці)</t>
  </si>
  <si>
    <t>Будівництво дитячого садка в с. Крихівці (субвенція з с. Крихівці)</t>
  </si>
  <si>
    <t>Будівництво дитячого садка в с. Микитинці (субвенція з с. Микитинці)</t>
  </si>
  <si>
    <t>Реконструкція з добудовою приміщень Крихівецької ЗОШ І-ІІІ ступенів на вул. 22 Січня, 141А в с. Крихівці Івано-Франківської міської ради (субвенція з с. Крихівці)</t>
  </si>
  <si>
    <t>7324</t>
  </si>
  <si>
    <t>Реконструкція Народного дому в селі Угорники Івано-Франківської міської ради (субвенція з с. Угорники)</t>
  </si>
  <si>
    <t>7340</t>
  </si>
  <si>
    <t>Субвенція з обласного бюджету на виготовлення проектно-кошторисної документації для здійснення ремонтно-реставраційних робіт на І поверсі центрального корпусу Івано-Франківського комунального закладу «Міська поліклініка № 3 на вул. І. Франка, 30</t>
  </si>
  <si>
    <t>Субвенція з обласного бюджету на будівництво храму "Святителя Василія Великого" УПЦ КП в районі вул.Галицька-Витвицького біля дамби р. Бистриця-Солотвинська в  м. Івано-Франківську (обласна програма «Духовне життя» на 2016 – 2020 роки)</t>
  </si>
  <si>
    <t>Субвенція з обласного бюджету на будівництво храму Всіх Святих Землі Української по вул.Івасюка,2  в м. Івано-Франківську (обласна програма «Духовне життя» на 2016 – 2020 роки)»</t>
  </si>
  <si>
    <t>Субвенція з обласного бюджету на капітальний ремонт (проведення гідроізоляції фундаментів) церкви Святого великомученика Юрія УГКЦ в с.Угорники Івано-Франківської міської ради (обласна програма «Духовне життя» на 2016 – 2020 роки)»</t>
  </si>
  <si>
    <t>Субвенція з обласного бюджету на капітальний ремонт храму "Преображення Господнього" УГКЦ в м. Івано-Франківську (обласна програма «Духовне життя» на 2016 – 2020 роки)»</t>
  </si>
  <si>
    <t>Субвенція з обласного бюджету на капітальний ремонт храму Вознесіння Господнього УГКЦ м. Івано-Франківськ, вул.Чорновола,136а (обласна програма «Духовне життя» на 2016 – 2020 роки)»</t>
  </si>
  <si>
    <t>Субвенція з обласного бюджету на капітальний ремонт храму Різдва Пресвятої Богородиці УАПЦ в с.Хриплин Івано-Франківської міської ради (обласна програма «Духовне життя» на 2016 – 2020 роки)»</t>
  </si>
  <si>
    <t>Субвенція з обласного бюджету на капітальний ремонт храму Святителя Миколая УПЦ КП (м. Івано-Франківськ, вул. Хіміків) (обласна програма «Духовне життя» на 2016 – 2020 роки)»</t>
  </si>
  <si>
    <t>Субвенція з обласного бюджету на капітальний ремонт храму Святого Архистратига Михаїла на вул. Сорохтея,15а в м. Івано-Франківську (обласна програма «Духовне життя» на 2016 – 2020 роки)»</t>
  </si>
  <si>
    <t>Субвенція з обласного бюджету на капітальний ремонт храму Святої Параскеви великомучениці УГКЦ в с.Хриплин Івано-Франківської міської ради (обласна програма «Духовне життя» на 2016 – 2020 роки)»</t>
  </si>
  <si>
    <t>6080</t>
  </si>
  <si>
    <t>Субвенція з обласного бюджету на придбання житла особі з числа дітей, позбавлених батьківського піклування Латковській Галині Вікторівні, 21.05.1996 р.н.</t>
  </si>
  <si>
    <t>Придбання посадкового матеріалу для озеленення міста (саджанці дерев та кущів) (субвенція Галицької районної ради)</t>
  </si>
  <si>
    <t>Будівництво каналізаційних мереж в с.Хриплин (субвенція Галицької районної ради)</t>
  </si>
  <si>
    <t>Охорона та раціональне використання природних ресурсів (Галицька районна рада)</t>
  </si>
  <si>
    <t>Утримання полігону твердих побутових відходів у с. Рибне</t>
  </si>
  <si>
    <t>8311</t>
  </si>
  <si>
    <t>Придбання пожежно-рятувального обладнання для Ів-Фр міського відділу ДСНС України (субвенція з с. Крихівці)</t>
  </si>
  <si>
    <t>Оплата послуг рейтинговому агенству " Ділова Івано-Франківщина "</t>
  </si>
  <si>
    <t>Інші заходи громадського порядку            ( Комплексна програма профілактики злочинності в місті до 2020 року )</t>
  </si>
  <si>
    <t>1110</t>
  </si>
  <si>
    <t>Субвенція з обласного бюджету міському бюджету для придбання тенісного стола та інвентаря для ЦПТО № 1</t>
  </si>
  <si>
    <t>Субвенція  с. Угорники  для ДНЗ №32 "Солов'ятко"</t>
  </si>
  <si>
    <t xml:space="preserve">субвенція з с. Хриплин на утримання лікарської амбулаторії </t>
  </si>
  <si>
    <t>субвенція з с.Вовчинець на утримання ГО " Штаб "</t>
  </si>
  <si>
    <t>субвенція з с.Крихівці на утримання ГО " Штаб "</t>
  </si>
  <si>
    <t>Субвенція   с. Микитинці на КП "Муніципальна варта"</t>
  </si>
  <si>
    <t>Субвенція з місцевого бюджету державному бюджету на виконання програм соціально-економічного розвитку регіонів ( субвенція с. Вовчинець Комплексна програма профілактики злочинності ( прокуратура ))</t>
  </si>
  <si>
    <t>видатки на утримання установ освіти із  резервного фонду</t>
  </si>
  <si>
    <t>Субвенція на капітальний ремонт даху Народного дому с. Микитинці</t>
  </si>
  <si>
    <t>Придбання кондиціонерів для ДНЗ №32 «Солов’ятко» (субвенція з с. Угорники)</t>
  </si>
  <si>
    <t>Придбання комп’ютерної техніки для ДНЗ №32 «Солов’ятко» (субвенція з с. Угорники)</t>
  </si>
  <si>
    <t>Придбання пристроїв для програвання компакт-дисків із звуковим записом для закладів загальної середньої освіти з метою створення умов для підготовки та проведення зовнішнього незалежного оцінювання з іноземних мов</t>
  </si>
  <si>
    <t>Придбання підручників для учнів 4-х та 7-х класів закладів загальної середньої освіти</t>
  </si>
  <si>
    <t>Придбання посудомийної машини для Микитинецької ЗШ (субвенція з с. Микитинці)</t>
  </si>
  <si>
    <t>Придбання музичної апаратури для Хриплинської ЗШ (субвенція з с. Хриплин)</t>
  </si>
  <si>
    <t>Придбання інвентарю для кабінету історії, біології,  трудового навчання та музичного виховання для Крихівецької ЗШ (субвенція з с. Крихівці)</t>
  </si>
  <si>
    <t>Субвенція з обласного бюджету на придбання мультимедійних проекторів для ЗОШ №15 в м. Івано-Франківську</t>
  </si>
  <si>
    <t>Субвенція з обласного бюджету на придбання сміттєвих урн та лавочок для будинків по вулицях Витвицького, 30 та Пасічна, 21</t>
  </si>
  <si>
    <t>Субвенція з обласного бюджету на придбання дитячого майданчика в м. Івано-Франківськ, вул. Військових Ветеранів,3А, Івано-Франківська область</t>
  </si>
  <si>
    <t>Оснащення міської дитячої екологічної станції приладами, обладнанням, інвентарем</t>
  </si>
  <si>
    <t>Придбання посадкового матеріалу для озеленення території Івано-Франківської міської дитячої екологічної станції</t>
  </si>
  <si>
    <t>Плата за надання послуг процесуального агента у судових справах</t>
  </si>
  <si>
    <t>Експертна оцінка та рецензування звітів зем.ділянок, які плануються викупити для суспільних потреб/ Викуп земельних ділянок під кладовище у с.Чукалівка</t>
  </si>
  <si>
    <t>субвенція з с.Крихівці на утримання віділення сімейної медицини</t>
  </si>
  <si>
    <t>субвенція з с.Вовчинець на утримання віділення сімейної медицини</t>
  </si>
  <si>
    <t>Субвенція  с. Хриплин для ДНЗ №31 "Мрія"</t>
  </si>
  <si>
    <t>Субвенція с.Угорники для Угорницької ЗОШ</t>
  </si>
  <si>
    <t>Субвенція з обласного бюджету міському бюджету для зміцнення матеріально-технічної бази для ВПУ №21</t>
  </si>
  <si>
    <t>Субвенція з обласного бюджету міському бюджету для поточного ремонту ПШ ім.С.Русової</t>
  </si>
  <si>
    <t>субвенція з Яремчанської міської ради на матеріальну допомогу</t>
  </si>
  <si>
    <t>8240</t>
  </si>
  <si>
    <t xml:space="preserve">  Заходи та роботи з територіальної оборони (Цільова програма фінансування мобілізаційних заходів та оборонної роботи Івано-Франківської міської ради на 2019-2023р.р.)</t>
  </si>
  <si>
    <t>9510</t>
  </si>
  <si>
    <t>Субвенція з місцевого бюджету на здійснення програм соціально-економічного та культурного розвитку окремих територій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</si>
</sst>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6" formatCode="#,##0.0"/>
    <numFmt numFmtId="197" formatCode="0.0"/>
    <numFmt numFmtId="208" formatCode="#,##0.00000"/>
  </numFmts>
  <fonts count="44" x14ac:knownFonts="1">
    <font>
      <sz val="10"/>
      <name val="Arial Cyr"/>
      <family val="2"/>
      <charset val="204"/>
    </font>
    <font>
      <sz val="10"/>
      <name val="Times New Roman Cyr"/>
      <family val="1"/>
      <charset val="204"/>
    </font>
    <font>
      <sz val="10"/>
      <name val="Arial Cyr"/>
      <family val="2"/>
      <charset val="204"/>
    </font>
    <font>
      <sz val="8"/>
      <name val="Arial"/>
      <family val="2"/>
    </font>
    <font>
      <sz val="10"/>
      <name val="Helv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4"/>
      <name val="Times New Roman"/>
      <family val="1"/>
      <charset val="1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1"/>
    </font>
    <font>
      <b/>
      <sz val="14"/>
      <name val="Times New Roman"/>
      <family val="1"/>
      <charset val="1"/>
    </font>
    <font>
      <sz val="14"/>
      <color theme="1"/>
      <name val="Times New Roman"/>
      <family val="1"/>
      <charset val="1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1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1"/>
    </font>
    <font>
      <sz val="14"/>
      <color theme="1"/>
      <name val="Times New Roman Cyr"/>
      <family val="1"/>
      <charset val="204"/>
    </font>
    <font>
      <sz val="14"/>
      <color theme="1"/>
      <name val="Times New Roman Cyr"/>
      <charset val="204"/>
    </font>
    <font>
      <b/>
      <u/>
      <sz val="14"/>
      <color theme="1"/>
      <name val="Times New Roman"/>
      <family val="1"/>
      <charset val="1"/>
    </font>
    <font>
      <sz val="14"/>
      <color theme="0"/>
      <name val="Times New Roman"/>
      <family val="1"/>
      <charset val="204"/>
    </font>
    <font>
      <b/>
      <sz val="10"/>
      <color theme="1"/>
      <name val="Arial Cyr"/>
      <family val="2"/>
      <charset val="204"/>
    </font>
    <font>
      <b/>
      <i/>
      <sz val="14"/>
      <color theme="1"/>
      <name val="Times New Roman"/>
      <family val="1"/>
      <charset val="1"/>
    </font>
    <font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6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4"/>
      <color theme="0"/>
      <name val="Times New Roman"/>
      <family val="1"/>
      <charset val="1"/>
    </font>
    <font>
      <b/>
      <sz val="10"/>
      <color theme="1"/>
      <name val="Arial Cyr"/>
      <charset val="204"/>
    </font>
    <font>
      <b/>
      <sz val="14"/>
      <color theme="1"/>
      <name val="Times New Roman Cyr"/>
      <charset val="204"/>
    </font>
    <font>
      <b/>
      <sz val="12"/>
      <color theme="1"/>
      <name val="Times New Roman"/>
      <family val="1"/>
      <charset val="1"/>
    </font>
    <font>
      <b/>
      <sz val="14"/>
      <color rgb="FFFF0000"/>
      <name val="Times New Roman"/>
      <family val="1"/>
      <charset val="204"/>
    </font>
    <font>
      <sz val="10"/>
      <color theme="0"/>
      <name val="Times New Roman"/>
      <family val="1"/>
      <charset val="1"/>
    </font>
    <font>
      <b/>
      <sz val="14"/>
      <color theme="0"/>
      <name val="Times New Roman"/>
      <family val="1"/>
      <charset val="204"/>
    </font>
    <font>
      <sz val="14"/>
      <color theme="0"/>
      <name val="Times New Roman Cyr"/>
      <charset val="204"/>
    </font>
    <font>
      <b/>
      <sz val="14"/>
      <color theme="0"/>
      <name val="Times New Roman"/>
      <family val="1"/>
      <charset val="1"/>
    </font>
    <font>
      <b/>
      <sz val="10"/>
      <color theme="0"/>
      <name val="Arial Cyr"/>
      <family val="2"/>
      <charset val="204"/>
    </font>
    <font>
      <sz val="14"/>
      <color theme="0"/>
      <name val="Arial Cyr"/>
      <charset val="204"/>
    </font>
    <font>
      <b/>
      <sz val="16"/>
      <color theme="1"/>
      <name val="Times New Roman"/>
      <family val="1"/>
      <charset val="1"/>
    </font>
    <font>
      <b/>
      <sz val="12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4" fillId="0" borderId="0"/>
  </cellStyleXfs>
  <cellXfs count="196">
    <xf numFmtId="0" fontId="0" fillId="0" borderId="0" xfId="0"/>
    <xf numFmtId="196" fontId="6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196" fontId="13" fillId="2" borderId="0" xfId="0" applyNumberFormat="1" applyFont="1" applyFill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196" fontId="16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196" fontId="17" fillId="2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196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96" fontId="1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196" fontId="13" fillId="2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49" fontId="13" fillId="2" borderId="1" xfId="0" applyNumberFormat="1" applyFont="1" applyFill="1" applyBorder="1" applyAlignment="1">
      <alignment vertical="center" wrapText="1"/>
    </xf>
    <xf numFmtId="49" fontId="17" fillId="2" borderId="1" xfId="2" applyNumberFormat="1" applyFont="1" applyFill="1" applyBorder="1" applyAlignment="1">
      <alignment horizontal="left" vertical="center" wrapText="1"/>
    </xf>
    <xf numFmtId="49" fontId="13" fillId="2" borderId="1" xfId="2" applyNumberFormat="1" applyFont="1" applyFill="1" applyBorder="1" applyAlignment="1">
      <alignment horizontal="left" vertical="center" wrapText="1"/>
    </xf>
    <xf numFmtId="49" fontId="17" fillId="2" borderId="2" xfId="0" applyNumberFormat="1" applyFont="1" applyFill="1" applyBorder="1" applyAlignment="1">
      <alignment horizontal="left" vertical="center" wrapText="1"/>
    </xf>
    <xf numFmtId="197" fontId="17" fillId="2" borderId="2" xfId="5" applyNumberFormat="1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left" vertical="center" wrapText="1"/>
    </xf>
    <xf numFmtId="49" fontId="20" fillId="2" borderId="3" xfId="0" applyNumberFormat="1" applyFont="1" applyFill="1" applyBorder="1" applyAlignment="1">
      <alignment vertical="center" wrapText="1"/>
    </xf>
    <xf numFmtId="0" fontId="17" fillId="2" borderId="3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1" fontId="17" fillId="2" borderId="3" xfId="0" applyNumberFormat="1" applyFont="1" applyFill="1" applyBorder="1" applyAlignment="1">
      <alignment horizontal="left" vertical="center" wrapText="1"/>
    </xf>
    <xf numFmtId="196" fontId="13" fillId="2" borderId="1" xfId="1" applyNumberFormat="1" applyFont="1" applyFill="1" applyBorder="1" applyAlignment="1">
      <alignment horizontal="center" vertical="center"/>
    </xf>
    <xf numFmtId="49" fontId="16" fillId="2" borderId="1" xfId="2" applyNumberFormat="1" applyFont="1" applyFill="1" applyBorder="1" applyAlignment="1">
      <alignment horizontal="center" vertical="center" wrapText="1"/>
    </xf>
    <xf numFmtId="49" fontId="13" fillId="2" borderId="3" xfId="2" applyNumberFormat="1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196" fontId="17" fillId="2" borderId="1" xfId="1" applyNumberFormat="1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196" fontId="22" fillId="2" borderId="1" xfId="0" applyNumberFormat="1" applyFont="1" applyFill="1" applyBorder="1" applyAlignment="1">
      <alignment horizontal="center" vertical="center" wrapText="1"/>
    </xf>
    <xf numFmtId="197" fontId="13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4" fillId="2" borderId="1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left" vertical="center" wrapText="1"/>
    </xf>
    <xf numFmtId="196" fontId="16" fillId="2" borderId="0" xfId="0" applyNumberFormat="1" applyFont="1" applyFill="1" applyBorder="1" applyAlignment="1">
      <alignment horizontal="center" vertical="center" wrapText="1"/>
    </xf>
    <xf numFmtId="196" fontId="17" fillId="2" borderId="0" xfId="0" applyNumberFormat="1" applyFont="1" applyFill="1" applyBorder="1" applyAlignment="1">
      <alignment horizontal="center" vertical="center" wrapText="1"/>
    </xf>
    <xf numFmtId="196" fontId="18" fillId="2" borderId="0" xfId="0" applyNumberFormat="1" applyFont="1" applyFill="1" applyBorder="1" applyAlignment="1">
      <alignment horizontal="center" vertical="center" wrapText="1"/>
    </xf>
    <xf numFmtId="197" fontId="13" fillId="2" borderId="0" xfId="0" applyNumberFormat="1" applyFont="1" applyFill="1" applyAlignment="1">
      <alignment vertical="center"/>
    </xf>
    <xf numFmtId="0" fontId="25" fillId="2" borderId="0" xfId="0" applyFont="1" applyFill="1" applyAlignment="1">
      <alignment horizontal="justify" vertical="center"/>
    </xf>
    <xf numFmtId="196" fontId="26" fillId="2" borderId="0" xfId="0" applyNumberFormat="1" applyFont="1" applyFill="1" applyAlignment="1">
      <alignment vertical="center"/>
    </xf>
    <xf numFmtId="197" fontId="27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horizontal="justify" vertical="center"/>
    </xf>
    <xf numFmtId="196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197" fontId="31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96" fontId="8" fillId="2" borderId="1" xfId="0" applyNumberFormat="1" applyFont="1" applyFill="1" applyBorder="1" applyAlignment="1">
      <alignment horizontal="center" vertical="center" wrapText="1"/>
    </xf>
    <xf numFmtId="196" fontId="18" fillId="2" borderId="1" xfId="0" applyNumberFormat="1" applyFont="1" applyFill="1" applyBorder="1" applyAlignment="1">
      <alignment horizontal="center" vertical="center"/>
    </xf>
    <xf numFmtId="196" fontId="32" fillId="2" borderId="0" xfId="0" applyNumberFormat="1" applyFont="1" applyFill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49" fontId="17" fillId="2" borderId="0" xfId="0" applyNumberFormat="1" applyFont="1" applyFill="1" applyBorder="1" applyAlignment="1">
      <alignment vertical="center" wrapText="1"/>
    </xf>
    <xf numFmtId="49" fontId="17" fillId="2" borderId="1" xfId="0" applyNumberFormat="1" applyFont="1" applyFill="1" applyBorder="1" applyAlignment="1">
      <alignment vertical="center" wrapText="1"/>
    </xf>
    <xf numFmtId="49" fontId="33" fillId="2" borderId="5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7" fillId="2" borderId="3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17" fillId="2" borderId="6" xfId="4" applyNumberFormat="1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49" fontId="13" fillId="2" borderId="3" xfId="0" applyNumberFormat="1" applyFont="1" applyFill="1" applyBorder="1" applyAlignment="1">
      <alignment vertical="center" wrapText="1"/>
    </xf>
    <xf numFmtId="0" fontId="21" fillId="2" borderId="3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top" wrapText="1"/>
    </xf>
    <xf numFmtId="4" fontId="13" fillId="2" borderId="1" xfId="0" applyNumberFormat="1" applyFont="1" applyFill="1" applyBorder="1" applyAlignment="1">
      <alignment horizontal="left" vertical="center" wrapText="1"/>
    </xf>
    <xf numFmtId="0" fontId="16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196" fontId="34" fillId="2" borderId="1" xfId="0" applyNumberFormat="1" applyFont="1" applyFill="1" applyBorder="1" applyAlignment="1">
      <alignment horizontal="center" vertical="center" wrapText="1"/>
    </xf>
    <xf numFmtId="196" fontId="12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196" fontId="17" fillId="2" borderId="1" xfId="0" applyNumberFormat="1" applyFont="1" applyFill="1" applyBorder="1" applyAlignment="1">
      <alignment horizontal="center" vertical="center"/>
    </xf>
    <xf numFmtId="196" fontId="8" fillId="2" borderId="1" xfId="0" applyNumberFormat="1" applyFont="1" applyFill="1" applyBorder="1" applyAlignment="1">
      <alignment horizontal="center" vertical="center"/>
    </xf>
    <xf numFmtId="197" fontId="13" fillId="2" borderId="1" xfId="0" applyNumberFormat="1" applyFont="1" applyFill="1" applyBorder="1" applyAlignment="1">
      <alignment horizontal="center" vertical="center" wrapText="1"/>
    </xf>
    <xf numFmtId="196" fontId="19" fillId="2" borderId="1" xfId="0" applyNumberFormat="1" applyFont="1" applyFill="1" applyBorder="1" applyAlignment="1">
      <alignment horizontal="center" vertical="center" wrapText="1"/>
    </xf>
    <xf numFmtId="196" fontId="16" fillId="2" borderId="1" xfId="0" applyNumberFormat="1" applyFont="1" applyFill="1" applyBorder="1" applyAlignment="1">
      <alignment horizontal="center" vertical="center"/>
    </xf>
    <xf numFmtId="196" fontId="18" fillId="2" borderId="7" xfId="0" applyNumberFormat="1" applyFont="1" applyFill="1" applyBorder="1" applyAlignment="1">
      <alignment horizontal="center" vertical="center"/>
    </xf>
    <xf numFmtId="196" fontId="13" fillId="2" borderId="1" xfId="0" applyNumberFormat="1" applyFont="1" applyFill="1" applyBorder="1" applyAlignment="1">
      <alignment vertical="center"/>
    </xf>
    <xf numFmtId="49" fontId="33" fillId="2" borderId="8" xfId="0" applyNumberFormat="1" applyFont="1" applyFill="1" applyBorder="1" applyAlignment="1">
      <alignment horizontal="center" vertical="center" wrapText="1"/>
    </xf>
    <xf numFmtId="196" fontId="35" fillId="2" borderId="1" xfId="0" applyNumberFormat="1" applyFont="1" applyFill="1" applyBorder="1" applyAlignment="1">
      <alignment horizontal="center" vertical="center" wrapText="1"/>
    </xf>
    <xf numFmtId="49" fontId="16" fillId="2" borderId="8" xfId="0" applyNumberFormat="1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vertical="center" wrapText="1"/>
    </xf>
    <xf numFmtId="49" fontId="16" fillId="2" borderId="5" xfId="2" applyNumberFormat="1" applyFont="1" applyFill="1" applyBorder="1" applyAlignment="1">
      <alignment horizontal="center" vertical="center" wrapText="1"/>
    </xf>
    <xf numFmtId="49" fontId="16" fillId="2" borderId="8" xfId="2" applyNumberFormat="1" applyFont="1" applyFill="1" applyBorder="1" applyAlignment="1">
      <alignment horizontal="center" vertical="center" wrapText="1"/>
    </xf>
    <xf numFmtId="49" fontId="13" fillId="2" borderId="3" xfId="2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196" fontId="5" fillId="2" borderId="1" xfId="0" applyNumberFormat="1" applyFont="1" applyFill="1" applyBorder="1" applyAlignment="1">
      <alignment horizontal="center" vertical="center" wrapText="1"/>
    </xf>
    <xf numFmtId="196" fontId="13" fillId="2" borderId="9" xfId="0" applyNumberFormat="1" applyFont="1" applyFill="1" applyBorder="1" applyAlignment="1">
      <alignment horizontal="center" vertical="center"/>
    </xf>
    <xf numFmtId="196" fontId="13" fillId="2" borderId="9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0" fontId="17" fillId="2" borderId="6" xfId="4" applyNumberFormat="1" applyFont="1" applyFill="1" applyBorder="1" applyAlignment="1">
      <alignment vertical="center" wrapText="1"/>
    </xf>
    <xf numFmtId="49" fontId="16" fillId="2" borderId="10" xfId="0" applyNumberFormat="1" applyFont="1" applyFill="1" applyBorder="1" applyAlignment="1">
      <alignment horizontal="center" vertical="center" wrapText="1"/>
    </xf>
    <xf numFmtId="0" fontId="17" fillId="2" borderId="0" xfId="4" applyNumberFormat="1" applyFont="1" applyFill="1" applyBorder="1" applyAlignment="1">
      <alignment vertical="center" wrapText="1"/>
    </xf>
    <xf numFmtId="0" fontId="17" fillId="2" borderId="8" xfId="4" applyNumberFormat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49" fontId="13" fillId="2" borderId="1" xfId="1" applyNumberFormat="1" applyFont="1" applyFill="1" applyBorder="1" applyAlignment="1">
      <alignment vertical="center" wrapText="1"/>
    </xf>
    <xf numFmtId="49" fontId="7" fillId="2" borderId="1" xfId="2" applyNumberFormat="1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vertical="center" wrapText="1"/>
    </xf>
    <xf numFmtId="0" fontId="16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49" fontId="18" fillId="2" borderId="1" xfId="2" applyNumberFormat="1" applyFont="1" applyFill="1" applyBorder="1" applyAlignment="1">
      <alignment horizontal="center" vertical="center" wrapText="1"/>
    </xf>
    <xf numFmtId="196" fontId="33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3" fillId="2" borderId="1" xfId="2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96" fontId="10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vertical="center" wrapText="1"/>
    </xf>
    <xf numFmtId="196" fontId="9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49" fontId="17" fillId="2" borderId="1" xfId="0" applyNumberFormat="1" applyFont="1" applyFill="1" applyBorder="1" applyAlignment="1">
      <alignment vertical="center" wrapText="1" shrinkToFit="1"/>
    </xf>
    <xf numFmtId="49" fontId="9" fillId="2" borderId="1" xfId="0" applyNumberFormat="1" applyFont="1" applyFill="1" applyBorder="1" applyAlignment="1">
      <alignment vertical="center" wrapText="1" shrinkToFit="1"/>
    </xf>
    <xf numFmtId="196" fontId="9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 shrinkToFit="1"/>
    </xf>
    <xf numFmtId="196" fontId="5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shrinkToFit="1"/>
    </xf>
    <xf numFmtId="4" fontId="6" fillId="2" borderId="1" xfId="0" applyNumberFormat="1" applyFont="1" applyFill="1" applyBorder="1" applyAlignment="1">
      <alignment horizontal="center" vertical="center" wrapText="1"/>
    </xf>
    <xf numFmtId="196" fontId="16" fillId="2" borderId="1" xfId="0" applyNumberFormat="1" applyFont="1" applyFill="1" applyBorder="1" applyAlignment="1">
      <alignment horizontal="center" vertical="center" wrapText="1" shrinkToFit="1"/>
    </xf>
    <xf numFmtId="49" fontId="34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96" fontId="17" fillId="2" borderId="1" xfId="0" applyNumberFormat="1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 shrinkToFit="1"/>
    </xf>
    <xf numFmtId="49" fontId="5" fillId="2" borderId="1" xfId="0" applyNumberFormat="1" applyFont="1" applyFill="1" applyBorder="1" applyAlignment="1">
      <alignment vertical="center" wrapText="1" shrinkToFit="1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96" fontId="17" fillId="2" borderId="1" xfId="0" applyNumberFormat="1" applyFont="1" applyFill="1" applyBorder="1" applyAlignment="1">
      <alignment horizontal="center" vertical="center" shrinkToFit="1"/>
    </xf>
    <xf numFmtId="49" fontId="17" fillId="2" borderId="5" xfId="0" applyNumberFormat="1" applyFont="1" applyFill="1" applyBorder="1" applyAlignment="1">
      <alignment horizontal="center" vertical="center" wrapText="1"/>
    </xf>
    <xf numFmtId="196" fontId="5" fillId="2" borderId="1" xfId="0" applyNumberFormat="1" applyFont="1" applyFill="1" applyBorder="1" applyAlignment="1">
      <alignment horizontal="center" vertical="center"/>
    </xf>
    <xf numFmtId="0" fontId="5" fillId="2" borderId="1" xfId="3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3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top" wrapText="1"/>
    </xf>
    <xf numFmtId="49" fontId="17" fillId="2" borderId="8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196" fontId="31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196" fontId="37" fillId="2" borderId="0" xfId="0" applyNumberFormat="1" applyFont="1" applyFill="1" applyAlignment="1">
      <alignment vertical="center"/>
    </xf>
    <xf numFmtId="0" fontId="22" fillId="2" borderId="0" xfId="0" applyFont="1" applyFill="1" applyAlignment="1">
      <alignment vertical="center"/>
    </xf>
    <xf numFmtId="4" fontId="31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vertical="center"/>
    </xf>
    <xf numFmtId="196" fontId="22" fillId="2" borderId="0" xfId="0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208" fontId="31" fillId="2" borderId="0" xfId="0" applyNumberFormat="1" applyFont="1" applyFill="1" applyAlignment="1">
      <alignment horizontal="center" vertical="center"/>
    </xf>
    <xf numFmtId="208" fontId="22" fillId="2" borderId="0" xfId="0" applyNumberFormat="1" applyFont="1" applyFill="1" applyAlignment="1">
      <alignment horizontal="center" vertical="center"/>
    </xf>
    <xf numFmtId="208" fontId="31" fillId="2" borderId="0" xfId="0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208" fontId="41" fillId="2" borderId="0" xfId="0" applyNumberFormat="1" applyFont="1" applyFill="1" applyAlignment="1">
      <alignment horizontal="center" vertical="center"/>
    </xf>
    <xf numFmtId="49" fontId="42" fillId="2" borderId="1" xfId="0" applyNumberFormat="1" applyFont="1" applyFill="1" applyBorder="1" applyAlignment="1">
      <alignment vertical="center" wrapText="1"/>
    </xf>
    <xf numFmtId="196" fontId="34" fillId="2" borderId="1" xfId="2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42" fillId="2" borderId="1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49" fontId="16" fillId="2" borderId="10" xfId="0" applyNumberFormat="1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 wrapText="1"/>
    </xf>
    <xf numFmtId="196" fontId="13" fillId="2" borderId="0" xfId="0" applyNumberFormat="1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196" fontId="34" fillId="2" borderId="1" xfId="0" applyNumberFormat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vertical="center"/>
    </xf>
    <xf numFmtId="196" fontId="13" fillId="2" borderId="0" xfId="0" applyNumberFormat="1" applyFont="1" applyFill="1" applyAlignment="1">
      <alignment horizontal="left" vertical="center"/>
    </xf>
    <xf numFmtId="0" fontId="16" fillId="2" borderId="0" xfId="0" applyFont="1" applyFill="1" applyBorder="1" applyAlignment="1">
      <alignment horizontal="center" vertical="center"/>
    </xf>
  </cellXfs>
  <cellStyles count="6">
    <cellStyle name="Обычный" xfId="0" builtinId="0"/>
    <cellStyle name="Обычный_Довідка про виконання міського бюджету по видатках" xfId="1"/>
    <cellStyle name="Обычный_Лист1" xfId="2"/>
    <cellStyle name="Обычный_Лист2" xfId="3"/>
    <cellStyle name="Обычный_місто дод.2" xfId="4"/>
    <cellStyle name="Стиль 1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B80047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3FF23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9"/>
  <sheetViews>
    <sheetView tabSelected="1" view="pageBreakPreview" zoomScale="70" zoomScaleNormal="70" zoomScaleSheetLayoutView="70" workbookViewId="0">
      <pane ySplit="10" topLeftCell="A340" activePane="bottomLeft" state="frozen"/>
      <selection pane="bottomLeft" activeCell="E341" sqref="E341"/>
    </sheetView>
  </sheetViews>
  <sheetFormatPr defaultRowHeight="18.75" x14ac:dyDescent="0.2"/>
  <cols>
    <col min="1" max="1" width="15.7109375" style="2" customWidth="1"/>
    <col min="2" max="2" width="40.7109375" style="2" customWidth="1"/>
    <col min="3" max="3" width="16.7109375" style="3" customWidth="1"/>
    <col min="4" max="4" width="20.140625" style="3" customWidth="1"/>
    <col min="5" max="5" width="23.42578125" style="3" customWidth="1"/>
    <col min="6" max="7" width="20.140625" style="3" customWidth="1"/>
    <col min="8" max="8" width="16.28515625" style="3" customWidth="1"/>
    <col min="9" max="9" width="12.42578125" style="3" customWidth="1"/>
    <col min="10" max="10" width="14.5703125" style="3" customWidth="1"/>
    <col min="11" max="11" width="16.7109375" style="3" customWidth="1"/>
    <col min="12" max="12" width="18.7109375" style="163" customWidth="1"/>
    <col min="13" max="14" width="21.5703125" style="163" customWidth="1"/>
    <col min="15" max="15" width="17.28515625" style="163" customWidth="1"/>
    <col min="16" max="16" width="16.42578125" style="163" customWidth="1"/>
    <col min="17" max="17" width="14.28515625" style="163" customWidth="1"/>
    <col min="18" max="18" width="10" style="163" bestFit="1" customWidth="1"/>
    <col min="19" max="31" width="9.140625" style="163"/>
    <col min="32" max="16384" width="9.140625" style="2"/>
  </cols>
  <sheetData>
    <row r="1" spans="1:31" x14ac:dyDescent="0.2">
      <c r="H1" s="194" t="s">
        <v>60</v>
      </c>
      <c r="I1" s="194"/>
      <c r="J1" s="194"/>
      <c r="K1" s="194"/>
    </row>
    <row r="2" spans="1:31" x14ac:dyDescent="0.2">
      <c r="H2" s="194" t="s">
        <v>61</v>
      </c>
      <c r="I2" s="194"/>
      <c r="J2" s="194"/>
      <c r="K2" s="194"/>
    </row>
    <row r="3" spans="1:31" x14ac:dyDescent="0.2">
      <c r="H3" s="194" t="s">
        <v>72</v>
      </c>
      <c r="I3" s="194"/>
      <c r="J3" s="194"/>
      <c r="K3" s="194"/>
    </row>
    <row r="4" spans="1:31" ht="20.25" customHeight="1" x14ac:dyDescent="0.2">
      <c r="A4" s="195" t="s">
        <v>0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31" ht="19.5" customHeight="1" x14ac:dyDescent="0.2">
      <c r="A5" s="195" t="s">
        <v>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M5" s="164">
        <f>E26+E163+E164+E165+E187+E188+E189+E191+E193</f>
        <v>242025.1</v>
      </c>
      <c r="N5" s="164">
        <f>F26+F163+F164+F165+F187+F188+F189+F191+F193</f>
        <v>136778</v>
      </c>
      <c r="O5" s="164">
        <f>G26+G163+G164+G165+G187+G188+G189+G191+G193</f>
        <v>120433.9</v>
      </c>
      <c r="P5" s="163">
        <v>120433.9</v>
      </c>
      <c r="Q5" s="164">
        <f>O5-P5</f>
        <v>0</v>
      </c>
    </row>
    <row r="6" spans="1:31" ht="18" customHeight="1" x14ac:dyDescent="0.2">
      <c r="A6" s="195" t="s">
        <v>270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</row>
    <row r="7" spans="1:31" ht="20.25" customHeight="1" x14ac:dyDescent="0.2">
      <c r="B7" s="188"/>
      <c r="C7" s="188"/>
      <c r="D7" s="188"/>
      <c r="E7" s="188"/>
      <c r="F7" s="188"/>
      <c r="G7" s="188"/>
      <c r="H7" s="188"/>
      <c r="I7" s="188"/>
      <c r="J7" s="188"/>
    </row>
    <row r="8" spans="1:31" ht="76.5" customHeight="1" x14ac:dyDescent="0.2">
      <c r="A8" s="189" t="s">
        <v>107</v>
      </c>
      <c r="B8" s="191" t="s">
        <v>90</v>
      </c>
      <c r="C8" s="192" t="s">
        <v>273</v>
      </c>
      <c r="D8" s="192" t="s">
        <v>194</v>
      </c>
      <c r="E8" s="192" t="s">
        <v>195</v>
      </c>
      <c r="F8" s="192" t="s">
        <v>271</v>
      </c>
      <c r="G8" s="192" t="s">
        <v>272</v>
      </c>
      <c r="H8" s="192" t="s">
        <v>64</v>
      </c>
      <c r="I8" s="192"/>
      <c r="J8" s="179" t="s">
        <v>196</v>
      </c>
      <c r="K8" s="179" t="s">
        <v>197</v>
      </c>
    </row>
    <row r="9" spans="1:31" ht="54.75" customHeight="1" x14ac:dyDescent="0.2">
      <c r="A9" s="190"/>
      <c r="B9" s="191"/>
      <c r="C9" s="192"/>
      <c r="D9" s="193"/>
      <c r="E9" s="192"/>
      <c r="F9" s="192"/>
      <c r="G9" s="192"/>
      <c r="H9" s="93" t="s">
        <v>62</v>
      </c>
      <c r="I9" s="93" t="s">
        <v>63</v>
      </c>
      <c r="J9" s="179"/>
      <c r="K9" s="179"/>
    </row>
    <row r="10" spans="1:31" s="7" customFormat="1" ht="18.75" customHeight="1" x14ac:dyDescent="0.2">
      <c r="A10" s="4">
        <v>1</v>
      </c>
      <c r="B10" s="4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6" t="s">
        <v>65</v>
      </c>
      <c r="K10" s="6" t="s">
        <v>81</v>
      </c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</row>
    <row r="11" spans="1:31" ht="25.5" customHeight="1" x14ac:dyDescent="0.2">
      <c r="A11" s="180" t="s">
        <v>53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</row>
    <row r="12" spans="1:31" s="10" customFormat="1" ht="42.75" customHeight="1" x14ac:dyDescent="0.2">
      <c r="A12" s="8" t="s">
        <v>121</v>
      </c>
      <c r="B12" s="95" t="s">
        <v>2</v>
      </c>
      <c r="C12" s="9">
        <f>C14+C15</f>
        <v>56206</v>
      </c>
      <c r="D12" s="9">
        <f>D14+D15</f>
        <v>146312</v>
      </c>
      <c r="E12" s="9">
        <f>E14+E15</f>
        <v>146643.4</v>
      </c>
      <c r="F12" s="9">
        <f>F14+F15</f>
        <v>82861.100000000006</v>
      </c>
      <c r="G12" s="9">
        <f>G14+G15</f>
        <v>61493</v>
      </c>
      <c r="H12" s="9">
        <f>G12-C12</f>
        <v>5287</v>
      </c>
      <c r="I12" s="9">
        <f>((G12/C12)*100)-100</f>
        <v>9.4064690602426708</v>
      </c>
      <c r="J12" s="9">
        <f>G12/E12*100</f>
        <v>41.933697663856677</v>
      </c>
      <c r="K12" s="9">
        <f>G12-E12</f>
        <v>-85150.399999999994</v>
      </c>
      <c r="L12" s="166"/>
      <c r="M12" s="166"/>
      <c r="N12" s="166"/>
      <c r="O12" s="167"/>
      <c r="P12" s="167"/>
      <c r="Q12" s="167"/>
      <c r="R12" s="167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</row>
    <row r="13" spans="1:31" s="14" customFormat="1" ht="21" customHeight="1" x14ac:dyDescent="0.2">
      <c r="A13" s="11"/>
      <c r="B13" s="12" t="s">
        <v>3</v>
      </c>
      <c r="C13" s="96"/>
      <c r="D13" s="13"/>
      <c r="E13" s="13"/>
      <c r="F13" s="13"/>
      <c r="G13" s="96"/>
      <c r="H13" s="13"/>
      <c r="I13" s="13"/>
      <c r="J13" s="13"/>
      <c r="K13" s="9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</row>
    <row r="14" spans="1:31" ht="42" customHeight="1" x14ac:dyDescent="0.2">
      <c r="A14" s="15"/>
      <c r="B14" s="16" t="s">
        <v>4</v>
      </c>
      <c r="C14" s="96">
        <v>56206</v>
      </c>
      <c r="D14" s="17">
        <v>146312</v>
      </c>
      <c r="E14" s="17">
        <v>146643.4</v>
      </c>
      <c r="F14" s="17">
        <v>82861.100000000006</v>
      </c>
      <c r="G14" s="96">
        <v>61493</v>
      </c>
      <c r="H14" s="13">
        <f>G14-C14</f>
        <v>5287</v>
      </c>
      <c r="I14" s="13">
        <f>((G14/C14)*100)-100</f>
        <v>9.4064690602426708</v>
      </c>
      <c r="J14" s="13">
        <f>G14/E14*100</f>
        <v>41.933697663856677</v>
      </c>
      <c r="K14" s="13">
        <f>G14-E14</f>
        <v>-85150.399999999994</v>
      </c>
    </row>
    <row r="15" spans="1:31" ht="87" hidden="1" customHeight="1" x14ac:dyDescent="0.2">
      <c r="A15" s="15"/>
      <c r="B15" s="18" t="s">
        <v>5</v>
      </c>
      <c r="C15" s="13"/>
      <c r="D15" s="17"/>
      <c r="E15" s="17"/>
      <c r="F15" s="17"/>
      <c r="G15" s="13"/>
      <c r="H15" s="13">
        <f>G15-C15</f>
        <v>0</v>
      </c>
      <c r="I15" s="13"/>
      <c r="J15" s="13"/>
      <c r="K15" s="13">
        <f>G15-E15</f>
        <v>0</v>
      </c>
    </row>
    <row r="16" spans="1:31" ht="33" customHeight="1" x14ac:dyDescent="0.2">
      <c r="A16" s="8"/>
      <c r="B16" s="90" t="s">
        <v>6</v>
      </c>
      <c r="C16" s="9">
        <f>SUM(C18:C24)</f>
        <v>228725.8</v>
      </c>
      <c r="D16" s="19">
        <f>SUM(D18:D24)</f>
        <v>494889.1</v>
      </c>
      <c r="E16" s="19">
        <f>SUM(E18:E25)</f>
        <v>506593.70000000007</v>
      </c>
      <c r="F16" s="19">
        <f>SUM(F18:F25)</f>
        <v>375857.9</v>
      </c>
      <c r="G16" s="19">
        <f>SUM(G18:G25)</f>
        <v>268559.5</v>
      </c>
      <c r="H16" s="9">
        <f t="shared" ref="H16:H126" si="0">G16-C16</f>
        <v>39833.700000000012</v>
      </c>
      <c r="I16" s="9">
        <f>((G16/C16)*100)-100</f>
        <v>17.41548176900028</v>
      </c>
      <c r="J16" s="9">
        <f t="shared" ref="J16:J122" si="1">G16/E16*100</f>
        <v>53.012799014279089</v>
      </c>
      <c r="K16" s="9">
        <f t="shared" ref="K16:K126" si="2">G16-E16</f>
        <v>-238034.20000000007</v>
      </c>
      <c r="L16" s="164"/>
      <c r="M16" s="164"/>
      <c r="N16" s="164"/>
      <c r="O16" s="169"/>
      <c r="P16" s="169"/>
      <c r="Q16" s="169"/>
    </row>
    <row r="17" spans="1:17" ht="24" customHeight="1" x14ac:dyDescent="0.2">
      <c r="A17" s="15"/>
      <c r="B17" s="20" t="s">
        <v>3</v>
      </c>
      <c r="C17" s="13"/>
      <c r="D17" s="17"/>
      <c r="E17" s="17"/>
      <c r="F17" s="17"/>
      <c r="G17" s="13"/>
      <c r="H17" s="13"/>
      <c r="I17" s="13"/>
      <c r="J17" s="13"/>
      <c r="K17" s="13"/>
    </row>
    <row r="18" spans="1:17" ht="42" customHeight="1" x14ac:dyDescent="0.2">
      <c r="A18" s="8" t="s">
        <v>91</v>
      </c>
      <c r="B18" s="16" t="s">
        <v>7</v>
      </c>
      <c r="C18" s="21">
        <v>226039.5</v>
      </c>
      <c r="D18" s="17">
        <v>489371.1</v>
      </c>
      <c r="E18" s="17">
        <f>540092.3-41552.6</f>
        <v>498539.70000000007</v>
      </c>
      <c r="F18" s="17">
        <f>400146.5-31222.1</f>
        <v>368924.4</v>
      </c>
      <c r="G18" s="97">
        <f>484585-25174.2-496.3-192762.8-307.9</f>
        <v>265843.8</v>
      </c>
      <c r="H18" s="13">
        <f t="shared" si="0"/>
        <v>39804.299999999988</v>
      </c>
      <c r="I18" s="13">
        <f>((G18/C18)*100)-100</f>
        <v>17.609444367024338</v>
      </c>
      <c r="J18" s="13">
        <f t="shared" si="1"/>
        <v>53.324499533337054</v>
      </c>
      <c r="K18" s="13">
        <f t="shared" si="2"/>
        <v>-232695.90000000008</v>
      </c>
      <c r="L18" s="164">
        <f>G18+G19+G20+G21+G22+G161+G162+G176+G177+G178+G179+G180+G181++G182+G183+G184+G185++G186+G51</f>
        <v>484585</v>
      </c>
      <c r="M18" s="164"/>
      <c r="N18" s="164"/>
    </row>
    <row r="19" spans="1:17" ht="82.5" customHeight="1" x14ac:dyDescent="0.2">
      <c r="A19" s="8"/>
      <c r="B19" s="18" t="s">
        <v>55</v>
      </c>
      <c r="C19" s="17">
        <v>377.8</v>
      </c>
      <c r="D19" s="17"/>
      <c r="E19" s="17">
        <v>296.39999999999998</v>
      </c>
      <c r="F19" s="17">
        <v>296.39999999999998</v>
      </c>
      <c r="G19" s="17">
        <v>188.7</v>
      </c>
      <c r="H19" s="13">
        <f t="shared" si="0"/>
        <v>-189.10000000000002</v>
      </c>
      <c r="I19" s="13">
        <f>((G19/C19)*100)-100</f>
        <v>-50.052938062466914</v>
      </c>
      <c r="J19" s="13">
        <f t="shared" si="1"/>
        <v>63.663967611336034</v>
      </c>
      <c r="K19" s="13">
        <f t="shared" si="2"/>
        <v>-107.69999999999999</v>
      </c>
    </row>
    <row r="20" spans="1:17" ht="96.75" customHeight="1" x14ac:dyDescent="0.2">
      <c r="A20" s="15" t="s">
        <v>91</v>
      </c>
      <c r="B20" s="22" t="s">
        <v>82</v>
      </c>
      <c r="C20" s="98">
        <v>310.60000000000002</v>
      </c>
      <c r="D20" s="98"/>
      <c r="E20" s="98">
        <f>1165.4-43.8</f>
        <v>1121.6000000000001</v>
      </c>
      <c r="F20" s="98">
        <f>1165.4-43.8</f>
        <v>1121.6000000000001</v>
      </c>
      <c r="G20" s="98">
        <v>145.5</v>
      </c>
      <c r="H20" s="13">
        <f t="shared" si="0"/>
        <v>-165.10000000000002</v>
      </c>
      <c r="I20" s="13">
        <f>((G20/C20)*100)-100</f>
        <v>-53.155183515775924</v>
      </c>
      <c r="J20" s="13">
        <f t="shared" si="1"/>
        <v>12.972539229671895</v>
      </c>
      <c r="K20" s="13">
        <f t="shared" si="2"/>
        <v>-976.10000000000014</v>
      </c>
    </row>
    <row r="21" spans="1:17" ht="96.75" customHeight="1" x14ac:dyDescent="0.2">
      <c r="A21" s="15" t="s">
        <v>91</v>
      </c>
      <c r="B21" s="16" t="s">
        <v>215</v>
      </c>
      <c r="C21" s="98"/>
      <c r="D21" s="98"/>
      <c r="E21" s="98">
        <f>1141.9</f>
        <v>1141.9000000000001</v>
      </c>
      <c r="F21" s="98">
        <v>1141.9000000000001</v>
      </c>
      <c r="G21" s="98">
        <v>0</v>
      </c>
      <c r="H21" s="13"/>
      <c r="I21" s="13"/>
      <c r="J21" s="13"/>
      <c r="K21" s="13"/>
    </row>
    <row r="22" spans="1:17" ht="37.5" x14ac:dyDescent="0.2">
      <c r="A22" s="15"/>
      <c r="B22" s="18" t="s">
        <v>330</v>
      </c>
      <c r="C22" s="98"/>
      <c r="D22" s="98"/>
      <c r="E22" s="98">
        <v>162.1</v>
      </c>
      <c r="F22" s="98">
        <v>162.1</v>
      </c>
      <c r="G22" s="98">
        <v>162.1</v>
      </c>
      <c r="H22" s="13"/>
      <c r="I22" s="13"/>
      <c r="J22" s="13"/>
      <c r="K22" s="13"/>
    </row>
    <row r="23" spans="1:17" ht="42" customHeight="1" x14ac:dyDescent="0.2">
      <c r="A23" s="8" t="s">
        <v>152</v>
      </c>
      <c r="B23" s="16" t="s">
        <v>8</v>
      </c>
      <c r="C23" s="21"/>
      <c r="D23" s="17">
        <v>1200</v>
      </c>
      <c r="E23" s="17">
        <f>1200-192</f>
        <v>1008</v>
      </c>
      <c r="F23" s="17">
        <f>1200-192</f>
        <v>1008</v>
      </c>
      <c r="G23" s="21">
        <v>0</v>
      </c>
      <c r="H23" s="13">
        <f t="shared" si="0"/>
        <v>0</v>
      </c>
      <c r="I23" s="13"/>
      <c r="J23" s="13">
        <f t="shared" si="1"/>
        <v>0</v>
      </c>
      <c r="K23" s="13">
        <f t="shared" si="2"/>
        <v>-1008</v>
      </c>
      <c r="L23" s="164">
        <f>G23+G24+G33+G65+G66++G160+G166+G167+G168+G194+G195+G196+G197</f>
        <v>290000.29999999993</v>
      </c>
    </row>
    <row r="24" spans="1:17" ht="41.25" customHeight="1" x14ac:dyDescent="0.2">
      <c r="A24" s="8" t="s">
        <v>153</v>
      </c>
      <c r="B24" s="23" t="s">
        <v>52</v>
      </c>
      <c r="C24" s="21">
        <v>1997.9</v>
      </c>
      <c r="D24" s="17">
        <v>4318</v>
      </c>
      <c r="E24" s="17">
        <v>4318</v>
      </c>
      <c r="F24" s="17">
        <v>3197.5</v>
      </c>
      <c r="G24" s="21">
        <f>2219.4</f>
        <v>2219.4</v>
      </c>
      <c r="H24" s="13">
        <f t="shared" si="0"/>
        <v>221.5</v>
      </c>
      <c r="I24" s="13">
        <f>((G24/C24)*100)-100</f>
        <v>11.086640973021673</v>
      </c>
      <c r="J24" s="13">
        <f t="shared" si="1"/>
        <v>51.398795738767959</v>
      </c>
      <c r="K24" s="13">
        <f t="shared" si="2"/>
        <v>-2098.6</v>
      </c>
    </row>
    <row r="25" spans="1:17" ht="86.45" customHeight="1" x14ac:dyDescent="0.2">
      <c r="A25" s="8"/>
      <c r="B25" s="18" t="s">
        <v>55</v>
      </c>
      <c r="C25" s="21"/>
      <c r="D25" s="17"/>
      <c r="E25" s="17">
        <v>6</v>
      </c>
      <c r="F25" s="17">
        <v>6</v>
      </c>
      <c r="G25" s="21"/>
      <c r="H25" s="13"/>
      <c r="I25" s="13"/>
      <c r="J25" s="13"/>
      <c r="K25" s="13"/>
    </row>
    <row r="26" spans="1:17" ht="37.5" customHeight="1" x14ac:dyDescent="0.2">
      <c r="A26" s="8" t="s">
        <v>94</v>
      </c>
      <c r="B26" s="67" t="s">
        <v>9</v>
      </c>
      <c r="C26" s="19">
        <f>SUM(C28:C32)</f>
        <v>18098</v>
      </c>
      <c r="D26" s="19">
        <f>SUM(D28:D32)</f>
        <v>40481</v>
      </c>
      <c r="E26" s="19">
        <f>SUM(E28:E32)</f>
        <v>49611.299999999996</v>
      </c>
      <c r="F26" s="19">
        <f>SUM(F28:F32)</f>
        <v>38704.6</v>
      </c>
      <c r="G26" s="19">
        <f>SUM(G28:G32)</f>
        <v>24014.6</v>
      </c>
      <c r="H26" s="9">
        <f t="shared" si="0"/>
        <v>5916.5999999999985</v>
      </c>
      <c r="I26" s="9">
        <f>((G26/C26)*100)-100</f>
        <v>32.692010166869267</v>
      </c>
      <c r="J26" s="9">
        <f t="shared" si="1"/>
        <v>48.405504391136702</v>
      </c>
      <c r="K26" s="9">
        <f t="shared" si="2"/>
        <v>-25596.699999999997</v>
      </c>
      <c r="L26" s="164">
        <f>E26+E163+E164+E165+E189+E191</f>
        <v>241887.9</v>
      </c>
      <c r="M26" s="164">
        <f>F26+F163+F164+F165+F189+F191</f>
        <v>136640.79999999999</v>
      </c>
      <c r="N26" s="164">
        <f>G26+G163+G164+G165+G189+G191</f>
        <v>120433.9</v>
      </c>
      <c r="O26" s="164">
        <f>E26+E163+E164+E165+E189+E191+E218+E304</f>
        <v>274976.39</v>
      </c>
      <c r="P26" s="164">
        <f>F26+F163+F164+F165+F189+F191+F218+F304</f>
        <v>155729.28999999998</v>
      </c>
      <c r="Q26" s="164">
        <f>G26+G163+G164+G165+G189+G191+G218+G304</f>
        <v>125379.34086</v>
      </c>
    </row>
    <row r="27" spans="1:17" x14ac:dyDescent="0.2">
      <c r="A27" s="15"/>
      <c r="B27" s="18" t="s">
        <v>10</v>
      </c>
      <c r="C27" s="19"/>
      <c r="D27" s="19"/>
      <c r="E27" s="19"/>
      <c r="F27" s="19"/>
      <c r="G27" s="19"/>
      <c r="H27" s="13"/>
      <c r="I27" s="13"/>
      <c r="J27" s="9"/>
      <c r="K27" s="13"/>
      <c r="N27" s="163">
        <v>55403.1</v>
      </c>
    </row>
    <row r="28" spans="1:17" ht="44.25" customHeight="1" x14ac:dyDescent="0.2">
      <c r="A28" s="15"/>
      <c r="B28" s="18" t="s">
        <v>11</v>
      </c>
      <c r="C28" s="17">
        <v>17938.900000000001</v>
      </c>
      <c r="D28" s="17">
        <v>40481</v>
      </c>
      <c r="E28" s="17">
        <f>49382.2</f>
        <v>49382.2</v>
      </c>
      <c r="F28" s="17">
        <v>38475.5</v>
      </c>
      <c r="G28" s="17">
        <f>24014-75.3+0.1+0.5</f>
        <v>23939.3</v>
      </c>
      <c r="H28" s="13">
        <f t="shared" si="0"/>
        <v>6000.3999999999978</v>
      </c>
      <c r="I28" s="13">
        <f>((G28/C28)*100)-100</f>
        <v>33.449096655870733</v>
      </c>
      <c r="J28" s="9">
        <f t="shared" si="1"/>
        <v>48.477589090805999</v>
      </c>
      <c r="K28" s="13">
        <f t="shared" si="2"/>
        <v>-25442.899999999998</v>
      </c>
      <c r="N28" s="164">
        <f>N26-N27</f>
        <v>65030.799999999996</v>
      </c>
    </row>
    <row r="29" spans="1:17" ht="81" customHeight="1" x14ac:dyDescent="0.2">
      <c r="A29" s="15"/>
      <c r="B29" s="18" t="s">
        <v>56</v>
      </c>
      <c r="C29" s="17">
        <v>149.1</v>
      </c>
      <c r="D29" s="17"/>
      <c r="E29" s="17">
        <v>155.1</v>
      </c>
      <c r="F29" s="17">
        <v>155.1</v>
      </c>
      <c r="G29" s="17">
        <v>75.3</v>
      </c>
      <c r="H29" s="13">
        <f t="shared" si="0"/>
        <v>-73.8</v>
      </c>
      <c r="I29" s="13">
        <f>((G29/C29)*100)-100</f>
        <v>-49.496981891348092</v>
      </c>
      <c r="J29" s="9">
        <f t="shared" si="1"/>
        <v>48.549323017408128</v>
      </c>
      <c r="K29" s="13">
        <f t="shared" si="2"/>
        <v>-79.8</v>
      </c>
    </row>
    <row r="30" spans="1:17" ht="102.75" customHeight="1" x14ac:dyDescent="0.2">
      <c r="A30" s="15"/>
      <c r="B30" s="22" t="s">
        <v>82</v>
      </c>
      <c r="C30" s="17"/>
      <c r="D30" s="17"/>
      <c r="E30" s="17">
        <v>25</v>
      </c>
      <c r="F30" s="17">
        <v>25</v>
      </c>
      <c r="G30" s="17"/>
      <c r="H30" s="9">
        <f t="shared" si="0"/>
        <v>0</v>
      </c>
      <c r="I30" s="13"/>
      <c r="J30" s="9">
        <f t="shared" si="1"/>
        <v>0</v>
      </c>
      <c r="K30" s="13">
        <f t="shared" si="2"/>
        <v>-25</v>
      </c>
    </row>
    <row r="31" spans="1:17" ht="81" hidden="1" customHeight="1" x14ac:dyDescent="0.2">
      <c r="A31" s="15"/>
      <c r="B31" s="16" t="s">
        <v>215</v>
      </c>
      <c r="C31" s="17"/>
      <c r="D31" s="17"/>
      <c r="E31" s="17"/>
      <c r="F31" s="17"/>
      <c r="G31" s="17"/>
      <c r="H31" s="9">
        <f t="shared" si="0"/>
        <v>0</v>
      </c>
      <c r="I31" s="13" t="e">
        <f>((G31/C31)*100)-100</f>
        <v>#DIV/0!</v>
      </c>
      <c r="J31" s="9" t="e">
        <f t="shared" si="1"/>
        <v>#DIV/0!</v>
      </c>
      <c r="K31" s="13"/>
    </row>
    <row r="32" spans="1:17" ht="58.9" customHeight="1" x14ac:dyDescent="0.2">
      <c r="A32" s="15"/>
      <c r="B32" s="18" t="s">
        <v>154</v>
      </c>
      <c r="C32" s="17">
        <v>10</v>
      </c>
      <c r="D32" s="17"/>
      <c r="E32" s="17">
        <v>49</v>
      </c>
      <c r="F32" s="17">
        <v>49</v>
      </c>
      <c r="G32" s="17"/>
      <c r="H32" s="9">
        <f t="shared" si="0"/>
        <v>-10</v>
      </c>
      <c r="I32" s="13">
        <f>((G32/C32)*100)-100</f>
        <v>-100</v>
      </c>
      <c r="J32" s="9">
        <f t="shared" si="1"/>
        <v>0</v>
      </c>
      <c r="K32" s="9">
        <f>G32-E32</f>
        <v>-49</v>
      </c>
      <c r="L32" s="164">
        <f>E35+E23+E24+E65+E66</f>
        <v>71749.5</v>
      </c>
      <c r="M32" s="164"/>
    </row>
    <row r="33" spans="1:31" ht="71.25" customHeight="1" x14ac:dyDescent="0.2">
      <c r="A33" s="8" t="s">
        <v>95</v>
      </c>
      <c r="B33" s="67" t="s">
        <v>12</v>
      </c>
      <c r="C33" s="19">
        <f>C35+C36+C39++C37</f>
        <v>15429.3</v>
      </c>
      <c r="D33" s="19">
        <f>D35+D36+D39++D37</f>
        <v>31323.5</v>
      </c>
      <c r="E33" s="19">
        <f>E35+E36+E39++E37+E38</f>
        <v>34161.1</v>
      </c>
      <c r="F33" s="19">
        <f>F35+F36+F39++F37+F38</f>
        <v>25334.199999999997</v>
      </c>
      <c r="G33" s="19">
        <f>G35+G36+G39++G37+G38</f>
        <v>19082.8</v>
      </c>
      <c r="H33" s="9">
        <f t="shared" si="0"/>
        <v>3653.5</v>
      </c>
      <c r="I33" s="9">
        <f>((G33/C33)*100)-100</f>
        <v>23.678974418800607</v>
      </c>
      <c r="J33" s="9">
        <f t="shared" si="1"/>
        <v>55.861198848983193</v>
      </c>
      <c r="K33" s="9">
        <f t="shared" si="2"/>
        <v>-15078.3</v>
      </c>
      <c r="L33" s="164">
        <f>E33+E23+E24+E65+E66+E160+E166+E167+E168+E194+E196+E197</f>
        <v>498588.60000000003</v>
      </c>
      <c r="M33" s="164">
        <f>F33+F23+F24+F65+F66+F160+F166+F167+F168+F194+F196+F197</f>
        <v>325730.09999999998</v>
      </c>
      <c r="N33" s="164">
        <f>G33+G23+G24+G65+G66+G160+G166+G167+G168+G194+G196+G197</f>
        <v>290000.29999999993</v>
      </c>
      <c r="O33" s="164">
        <f>E33+E23+E24+E66+E160+E166+E167+E168+E194+E196+E197+E222</f>
        <v>467418.60000000003</v>
      </c>
      <c r="P33" s="164">
        <f>F33+F23+F24+F66+F160+F166+F167+F168+F194+F196+F197+F222</f>
        <v>305490.09999999998</v>
      </c>
      <c r="Q33" s="164">
        <f>G33+G23+G24+G66+G160+G166+G167+G168+G194+G196+G197+G222</f>
        <v>276871.59472999995</v>
      </c>
    </row>
    <row r="34" spans="1:31" x14ac:dyDescent="0.2">
      <c r="A34" s="15"/>
      <c r="B34" s="18" t="s">
        <v>10</v>
      </c>
      <c r="C34" s="19"/>
      <c r="D34" s="19"/>
      <c r="E34" s="19"/>
      <c r="F34" s="19"/>
      <c r="G34" s="19"/>
      <c r="H34" s="13">
        <f t="shared" si="0"/>
        <v>0</v>
      </c>
      <c r="I34" s="13"/>
      <c r="J34" s="13"/>
      <c r="K34" s="13">
        <f t="shared" si="2"/>
        <v>0</v>
      </c>
      <c r="L34" s="163">
        <v>638213.5</v>
      </c>
      <c r="N34" s="163">
        <v>181801.5</v>
      </c>
    </row>
    <row r="35" spans="1:31" ht="30.75" customHeight="1" x14ac:dyDescent="0.2">
      <c r="A35" s="15"/>
      <c r="B35" s="18" t="s">
        <v>13</v>
      </c>
      <c r="C35" s="17">
        <v>14384</v>
      </c>
      <c r="D35" s="17">
        <v>31323.5</v>
      </c>
      <c r="E35" s="17">
        <f>71749.5-10000-100-23000-4318-1008-500</f>
        <v>32823.5</v>
      </c>
      <c r="F35" s="17">
        <f>50182.1-9600-100-12030-3197.5-1008-250</f>
        <v>23996.6</v>
      </c>
      <c r="G35" s="64">
        <f>34136.9-3926.5-100-9238.4-2456.1-172.3-478.4</f>
        <v>17765.2</v>
      </c>
      <c r="H35" s="64">
        <f t="shared" si="0"/>
        <v>3381.2000000000007</v>
      </c>
      <c r="I35" s="64">
        <f>((G35/C35)*100)-100</f>
        <v>23.50667408231368</v>
      </c>
      <c r="J35" s="64">
        <f t="shared" si="1"/>
        <v>54.123417673313334</v>
      </c>
      <c r="K35" s="64">
        <f t="shared" si="2"/>
        <v>-15058.3</v>
      </c>
      <c r="L35" s="164">
        <f>L33-L34</f>
        <v>-139624.89999999997</v>
      </c>
      <c r="M35" s="164"/>
      <c r="N35" s="164">
        <f>N33-N34</f>
        <v>108198.79999999993</v>
      </c>
    </row>
    <row r="36" spans="1:31" ht="64.5" customHeight="1" x14ac:dyDescent="0.2">
      <c r="A36" s="15"/>
      <c r="B36" s="18" t="s">
        <v>14</v>
      </c>
      <c r="C36" s="17">
        <v>949.3</v>
      </c>
      <c r="D36" s="17"/>
      <c r="E36" s="17">
        <v>1092.5999999999999</v>
      </c>
      <c r="F36" s="17">
        <v>1092.5999999999999</v>
      </c>
      <c r="G36" s="17">
        <v>1092.5999999999999</v>
      </c>
      <c r="H36" s="13">
        <f t="shared" si="0"/>
        <v>143.29999999999995</v>
      </c>
      <c r="I36" s="13">
        <f>((G36/C36)*100)-100</f>
        <v>15.095333403560502</v>
      </c>
      <c r="J36" s="13">
        <f t="shared" si="1"/>
        <v>100</v>
      </c>
      <c r="K36" s="13">
        <f t="shared" si="2"/>
        <v>0</v>
      </c>
    </row>
    <row r="37" spans="1:31" ht="46.15" customHeight="1" x14ac:dyDescent="0.2">
      <c r="A37" s="15"/>
      <c r="B37" s="23" t="s">
        <v>216</v>
      </c>
      <c r="C37" s="98"/>
      <c r="D37" s="98"/>
      <c r="E37" s="98">
        <v>20</v>
      </c>
      <c r="F37" s="98">
        <v>20</v>
      </c>
      <c r="G37" s="98">
        <v>20</v>
      </c>
      <c r="H37" s="13">
        <f t="shared" si="0"/>
        <v>20</v>
      </c>
      <c r="I37" s="13"/>
      <c r="J37" s="13">
        <f t="shared" si="1"/>
        <v>100</v>
      </c>
      <c r="K37" s="13">
        <f t="shared" si="2"/>
        <v>0</v>
      </c>
    </row>
    <row r="38" spans="1:31" ht="78.599999999999994" customHeight="1" x14ac:dyDescent="0.2">
      <c r="A38" s="15"/>
      <c r="B38" s="22" t="s">
        <v>82</v>
      </c>
      <c r="C38" s="98"/>
      <c r="D38" s="98"/>
      <c r="E38" s="98">
        <v>20</v>
      </c>
      <c r="F38" s="98">
        <v>20</v>
      </c>
      <c r="G38" s="98"/>
      <c r="H38" s="13"/>
      <c r="I38" s="13"/>
      <c r="J38" s="13"/>
      <c r="K38" s="13"/>
    </row>
    <row r="39" spans="1:31" ht="44.25" customHeight="1" x14ac:dyDescent="0.2">
      <c r="A39" s="15"/>
      <c r="B39" s="18" t="s">
        <v>59</v>
      </c>
      <c r="C39" s="17">
        <v>96</v>
      </c>
      <c r="D39" s="17"/>
      <c r="E39" s="17">
        <v>205</v>
      </c>
      <c r="F39" s="17">
        <v>205</v>
      </c>
      <c r="G39" s="17">
        <v>205</v>
      </c>
      <c r="H39" s="13">
        <f t="shared" si="0"/>
        <v>109</v>
      </c>
      <c r="I39" s="13"/>
      <c r="J39" s="13"/>
      <c r="K39" s="13">
        <f t="shared" si="2"/>
        <v>0</v>
      </c>
    </row>
    <row r="40" spans="1:31" ht="39.75" customHeight="1" x14ac:dyDescent="0.2">
      <c r="A40" s="92" t="s">
        <v>100</v>
      </c>
      <c r="B40" s="90" t="s">
        <v>15</v>
      </c>
      <c r="C40" s="19">
        <f>C42+C43+C46+C44+C45</f>
        <v>38007.599999999999</v>
      </c>
      <c r="D40" s="19">
        <f>D42+D43+D46+D44+D45</f>
        <v>121741</v>
      </c>
      <c r="E40" s="19">
        <f>E42+E43+E46+E44+E45</f>
        <v>128888.1</v>
      </c>
      <c r="F40" s="19">
        <f>F42+F43+F46+F44+F45</f>
        <v>85040.1</v>
      </c>
      <c r="G40" s="19">
        <f>G42+G43+G46+G44+G45</f>
        <v>61309.5</v>
      </c>
      <c r="H40" s="9">
        <f t="shared" si="0"/>
        <v>23301.9</v>
      </c>
      <c r="I40" s="9">
        <f>((G40/C40)*100)-100</f>
        <v>61.308527768130574</v>
      </c>
      <c r="J40" s="9">
        <f t="shared" si="1"/>
        <v>47.568006666247697</v>
      </c>
      <c r="K40" s="9">
        <f t="shared" si="2"/>
        <v>-67578.600000000006</v>
      </c>
      <c r="L40" s="164">
        <f>E40+E200</f>
        <v>129496.8</v>
      </c>
      <c r="M40" s="164">
        <f>F40+F200</f>
        <v>85648.8</v>
      </c>
      <c r="N40" s="164">
        <f>G40+G200</f>
        <v>61309.5</v>
      </c>
      <c r="O40" s="164">
        <f>E40+E200+E232</f>
        <v>412193.527</v>
      </c>
      <c r="P40" s="164">
        <f>F40+F200+F232</f>
        <v>260358.37300000002</v>
      </c>
      <c r="Q40" s="164">
        <f>G40+G200+G232</f>
        <v>115960.81623</v>
      </c>
    </row>
    <row r="41" spans="1:31" ht="21" customHeight="1" x14ac:dyDescent="0.2">
      <c r="A41" s="15"/>
      <c r="B41" s="20" t="s">
        <v>16</v>
      </c>
      <c r="C41" s="21"/>
      <c r="D41" s="17"/>
      <c r="E41" s="17"/>
      <c r="F41" s="17"/>
      <c r="G41" s="21"/>
      <c r="H41" s="13"/>
      <c r="I41" s="13"/>
      <c r="J41" s="13"/>
      <c r="K41" s="13"/>
      <c r="N41" s="163">
        <v>26061.200000000001</v>
      </c>
    </row>
    <row r="42" spans="1:31" ht="43.5" customHeight="1" x14ac:dyDescent="0.2">
      <c r="A42" s="15"/>
      <c r="B42" s="16" t="s">
        <v>17</v>
      </c>
      <c r="C42" s="21">
        <v>37756.6</v>
      </c>
      <c r="D42" s="17">
        <v>121741</v>
      </c>
      <c r="E42" s="17">
        <v>125713</v>
      </c>
      <c r="F42" s="17">
        <v>81865</v>
      </c>
      <c r="G42" s="21">
        <v>61195.5</v>
      </c>
      <c r="H42" s="13">
        <f t="shared" si="0"/>
        <v>23438.9</v>
      </c>
      <c r="I42" s="13">
        <f>((G42/C42)*100)-100</f>
        <v>62.078947786612133</v>
      </c>
      <c r="J42" s="13">
        <f t="shared" si="1"/>
        <v>48.678736487077707</v>
      </c>
      <c r="K42" s="13">
        <f t="shared" si="2"/>
        <v>-64517.5</v>
      </c>
      <c r="N42" s="164">
        <f>N40-N41</f>
        <v>35248.300000000003</v>
      </c>
    </row>
    <row r="43" spans="1:31" ht="69" customHeight="1" x14ac:dyDescent="0.2">
      <c r="A43" s="15"/>
      <c r="B43" s="16" t="s">
        <v>155</v>
      </c>
      <c r="C43" s="17"/>
      <c r="D43" s="17"/>
      <c r="E43" s="17">
        <v>172.8</v>
      </c>
      <c r="F43" s="17">
        <v>172.8</v>
      </c>
      <c r="G43" s="17">
        <v>52.8</v>
      </c>
      <c r="H43" s="13">
        <f t="shared" si="0"/>
        <v>52.8</v>
      </c>
      <c r="I43" s="13" t="e">
        <f>((G43/C43)*100)-100</f>
        <v>#DIV/0!</v>
      </c>
      <c r="J43" s="13">
        <f>G43/E43*100</f>
        <v>30.555555555555554</v>
      </c>
      <c r="K43" s="13">
        <f>G43-E43</f>
        <v>-120.00000000000001</v>
      </c>
    </row>
    <row r="44" spans="1:31" ht="95.25" customHeight="1" x14ac:dyDescent="0.2">
      <c r="A44" s="15"/>
      <c r="B44" s="22" t="s">
        <v>82</v>
      </c>
      <c r="C44" s="17">
        <v>168.1</v>
      </c>
      <c r="D44" s="17"/>
      <c r="E44" s="17">
        <v>2874.1</v>
      </c>
      <c r="F44" s="17">
        <v>2874.1</v>
      </c>
      <c r="G44" s="17"/>
      <c r="H44" s="13">
        <f t="shared" si="0"/>
        <v>-168.1</v>
      </c>
      <c r="I44" s="13"/>
      <c r="J44" s="13">
        <f>G44/E44*100</f>
        <v>0</v>
      </c>
      <c r="K44" s="13">
        <f>G44-E44</f>
        <v>-2874.1</v>
      </c>
    </row>
    <row r="45" spans="1:31" s="24" customFormat="1" ht="81" customHeight="1" x14ac:dyDescent="0.2">
      <c r="A45" s="68"/>
      <c r="B45" s="16" t="s">
        <v>18</v>
      </c>
      <c r="C45" s="17">
        <v>82.9</v>
      </c>
      <c r="D45" s="99"/>
      <c r="E45" s="17">
        <v>78.3</v>
      </c>
      <c r="F45" s="17">
        <v>78.3</v>
      </c>
      <c r="G45" s="17">
        <v>13</v>
      </c>
      <c r="H45" s="13">
        <f>G45-C45</f>
        <v>-69.900000000000006</v>
      </c>
      <c r="I45" s="13">
        <f>((G45/C45)*100)-100</f>
        <v>-84.31845597104946</v>
      </c>
      <c r="J45" s="13">
        <f>G45/E45*100</f>
        <v>16.602809706257982</v>
      </c>
      <c r="K45" s="13">
        <f>G45-E45</f>
        <v>-65.3</v>
      </c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</row>
    <row r="46" spans="1:31" ht="79.900000000000006" customHeight="1" x14ac:dyDescent="0.2">
      <c r="A46" s="15"/>
      <c r="B46" s="16" t="s">
        <v>215</v>
      </c>
      <c r="C46" s="17"/>
      <c r="D46" s="17"/>
      <c r="E46" s="17">
        <v>49.9</v>
      </c>
      <c r="F46" s="17">
        <v>49.9</v>
      </c>
      <c r="G46" s="17">
        <v>48.2</v>
      </c>
      <c r="H46" s="13">
        <f t="shared" si="0"/>
        <v>48.2</v>
      </c>
      <c r="I46" s="43"/>
      <c r="J46" s="13">
        <f>G46/E46*100</f>
        <v>96.593186372745492</v>
      </c>
      <c r="K46" s="13">
        <f t="shared" si="2"/>
        <v>-1.6999999999999957</v>
      </c>
    </row>
    <row r="47" spans="1:31" ht="27.75" customHeight="1" x14ac:dyDescent="0.2">
      <c r="A47" s="8" t="s">
        <v>97</v>
      </c>
      <c r="B47" s="67" t="s">
        <v>19</v>
      </c>
      <c r="C47" s="19">
        <f>SUM(C49:C54)</f>
        <v>38403.300000000003</v>
      </c>
      <c r="D47" s="19">
        <f>SUM(D49:D54)</f>
        <v>77924</v>
      </c>
      <c r="E47" s="19">
        <f>SUM(E49:E54)</f>
        <v>76309.7</v>
      </c>
      <c r="F47" s="19">
        <f>SUM(F49:F54)</f>
        <v>54991.199999999997</v>
      </c>
      <c r="G47" s="19">
        <f>SUM(G49:G54)</f>
        <v>39808</v>
      </c>
      <c r="H47" s="13">
        <f>G47-C47</f>
        <v>1404.6999999999971</v>
      </c>
      <c r="I47" s="13">
        <f>((G47/C47)*100)-100</f>
        <v>3.6577585780388517</v>
      </c>
      <c r="J47" s="13">
        <f t="shared" si="1"/>
        <v>52.166369413062817</v>
      </c>
      <c r="K47" s="13">
        <f t="shared" si="2"/>
        <v>-36501.699999999997</v>
      </c>
      <c r="L47" s="164">
        <f>E49+E50+E52+E54+E198</f>
        <v>34763.199999999997</v>
      </c>
      <c r="M47" s="164">
        <f>F49+F50+F52+F54+F198</f>
        <v>23775.3</v>
      </c>
      <c r="N47" s="164">
        <f>G49+G50+G52+G54+G198</f>
        <v>14633.800000000001</v>
      </c>
      <c r="O47" s="164">
        <f>E47+E198+E223+E305+E306</f>
        <v>88816.025999999998</v>
      </c>
      <c r="P47" s="164">
        <f>F47+F198+F223+F305+F306</f>
        <v>64901.525999999998</v>
      </c>
      <c r="Q47" s="164">
        <f>G47+G198+G223+G305+G306</f>
        <v>40995.697890000003</v>
      </c>
    </row>
    <row r="48" spans="1:31" ht="24" customHeight="1" x14ac:dyDescent="0.2">
      <c r="A48" s="15"/>
      <c r="B48" s="18" t="s">
        <v>3</v>
      </c>
      <c r="C48" s="21"/>
      <c r="D48" s="17"/>
      <c r="E48" s="17"/>
      <c r="F48" s="17"/>
      <c r="G48" s="21"/>
      <c r="H48" s="13"/>
      <c r="I48" s="13"/>
      <c r="J48" s="13"/>
      <c r="K48" s="13"/>
      <c r="L48" s="163">
        <v>36409</v>
      </c>
      <c r="N48" s="163">
        <v>7496.7</v>
      </c>
    </row>
    <row r="49" spans="1:31" ht="44.25" customHeight="1" x14ac:dyDescent="0.2">
      <c r="A49" s="15"/>
      <c r="B49" s="16" t="s">
        <v>20</v>
      </c>
      <c r="C49" s="21">
        <v>12158.8</v>
      </c>
      <c r="D49" s="17">
        <v>26977</v>
      </c>
      <c r="E49" s="17">
        <f>34639.7-7659.5</f>
        <v>26980.199999999997</v>
      </c>
      <c r="F49" s="17">
        <f>23651.8-6659.5</f>
        <v>16992.3</v>
      </c>
      <c r="G49" s="21">
        <v>12556.1</v>
      </c>
      <c r="H49" s="13">
        <f>G49-C49</f>
        <v>397.30000000000109</v>
      </c>
      <c r="I49" s="13">
        <f>((G49/C49)*100)-100</f>
        <v>3.2675921965983576</v>
      </c>
      <c r="J49" s="13">
        <f t="shared" si="1"/>
        <v>46.5382020889393</v>
      </c>
      <c r="K49" s="13">
        <f t="shared" si="2"/>
        <v>-14424.099999999997</v>
      </c>
      <c r="L49" s="164">
        <f>L47-L48</f>
        <v>-1645.8000000000029</v>
      </c>
      <c r="M49" s="164">
        <f>M47-M48</f>
        <v>23775.3</v>
      </c>
      <c r="N49" s="164">
        <f>N47-N48</f>
        <v>7137.1000000000013</v>
      </c>
    </row>
    <row r="50" spans="1:31" ht="56.25" customHeight="1" x14ac:dyDescent="0.2">
      <c r="A50" s="15"/>
      <c r="B50" s="16" t="s">
        <v>21</v>
      </c>
      <c r="C50" s="17">
        <v>1027.5999999999999</v>
      </c>
      <c r="D50" s="17">
        <v>9400</v>
      </c>
      <c r="E50" s="17">
        <v>7659.5</v>
      </c>
      <c r="F50" s="17">
        <v>6659.5</v>
      </c>
      <c r="G50" s="17">
        <v>2029.5</v>
      </c>
      <c r="H50" s="13">
        <f t="shared" si="0"/>
        <v>1001.9000000000001</v>
      </c>
      <c r="I50" s="13">
        <f>((G50/C50)*100)-100</f>
        <v>97.499026858699921</v>
      </c>
      <c r="J50" s="13">
        <f t="shared" si="1"/>
        <v>26.496507604935047</v>
      </c>
      <c r="K50" s="13">
        <f t="shared" si="2"/>
        <v>-5630</v>
      </c>
    </row>
    <row r="51" spans="1:31" ht="113.45" customHeight="1" x14ac:dyDescent="0.2">
      <c r="A51" s="15" t="s">
        <v>156</v>
      </c>
      <c r="B51" s="16" t="s">
        <v>157</v>
      </c>
      <c r="C51" s="17">
        <v>25187.9</v>
      </c>
      <c r="D51" s="17">
        <v>41547</v>
      </c>
      <c r="E51" s="17">
        <v>41552.5</v>
      </c>
      <c r="F51" s="17">
        <v>31221.9</v>
      </c>
      <c r="G51" s="17">
        <v>25174.2</v>
      </c>
      <c r="H51" s="13">
        <f>G51-C51</f>
        <v>-13.700000000000728</v>
      </c>
      <c r="I51" s="13">
        <f>((G51/C51)*100)-100</f>
        <v>-5.4391195772581113E-2</v>
      </c>
      <c r="J51" s="13">
        <f t="shared" si="1"/>
        <v>60.584080380241865</v>
      </c>
      <c r="K51" s="13">
        <f>G51-E51</f>
        <v>-16378.3</v>
      </c>
    </row>
    <row r="52" spans="1:31" ht="79.150000000000006" customHeight="1" x14ac:dyDescent="0.2">
      <c r="A52" s="15"/>
      <c r="B52" s="16" t="s">
        <v>57</v>
      </c>
      <c r="C52" s="17">
        <v>29</v>
      </c>
      <c r="D52" s="17"/>
      <c r="E52" s="17">
        <v>16.5</v>
      </c>
      <c r="F52" s="17">
        <v>16.5</v>
      </c>
      <c r="G52" s="17">
        <v>8.6999999999999993</v>
      </c>
      <c r="H52" s="13">
        <f>G52-C52</f>
        <v>-20.3</v>
      </c>
      <c r="I52" s="13">
        <f>((G52/C52)*100)-100</f>
        <v>-70</v>
      </c>
      <c r="J52" s="13">
        <f t="shared" si="1"/>
        <v>52.72727272727272</v>
      </c>
      <c r="K52" s="13">
        <f t="shared" si="2"/>
        <v>-7.8000000000000007</v>
      </c>
    </row>
    <row r="53" spans="1:31" ht="79.150000000000006" customHeight="1" x14ac:dyDescent="0.2">
      <c r="A53" s="15"/>
      <c r="B53" s="16" t="s">
        <v>215</v>
      </c>
      <c r="C53" s="17"/>
      <c r="D53" s="17"/>
      <c r="E53" s="17">
        <v>4</v>
      </c>
      <c r="F53" s="17">
        <v>4</v>
      </c>
      <c r="G53" s="17"/>
      <c r="H53" s="13">
        <f>G53-C53</f>
        <v>0</v>
      </c>
      <c r="I53" s="13"/>
      <c r="J53" s="13">
        <f t="shared" si="1"/>
        <v>0</v>
      </c>
      <c r="K53" s="13">
        <f t="shared" si="2"/>
        <v>-4</v>
      </c>
    </row>
    <row r="54" spans="1:31" s="24" customFormat="1" ht="101.45" customHeight="1" x14ac:dyDescent="0.2">
      <c r="A54" s="68"/>
      <c r="B54" s="22" t="s">
        <v>82</v>
      </c>
      <c r="C54" s="99"/>
      <c r="D54" s="99"/>
      <c r="E54" s="99">
        <f>53.2+43.8</f>
        <v>97</v>
      </c>
      <c r="F54" s="99">
        <f>53.2+43.8</f>
        <v>97</v>
      </c>
      <c r="G54" s="99">
        <v>39.5</v>
      </c>
      <c r="H54" s="13">
        <f t="shared" si="0"/>
        <v>39.5</v>
      </c>
      <c r="I54" s="13"/>
      <c r="J54" s="13">
        <f t="shared" si="1"/>
        <v>40.72164948453608</v>
      </c>
      <c r="K54" s="13">
        <f t="shared" si="2"/>
        <v>-57.5</v>
      </c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</row>
    <row r="55" spans="1:31" ht="44.25" customHeight="1" x14ac:dyDescent="0.2">
      <c r="A55" s="8" t="s">
        <v>158</v>
      </c>
      <c r="B55" s="67" t="s">
        <v>22</v>
      </c>
      <c r="C55" s="19">
        <f>C56</f>
        <v>2135.6999999999998</v>
      </c>
      <c r="D55" s="19">
        <f>D56+D57+D58</f>
        <v>7000</v>
      </c>
      <c r="E55" s="19">
        <f>E56+E57+E58</f>
        <v>9040</v>
      </c>
      <c r="F55" s="19">
        <f>F56+F57+F58</f>
        <v>7200</v>
      </c>
      <c r="G55" s="19">
        <f>G56+G57+G58</f>
        <v>5229</v>
      </c>
      <c r="H55" s="9">
        <f t="shared" si="0"/>
        <v>3093.3</v>
      </c>
      <c r="I55" s="9">
        <f>((G55/C55)*100)-100</f>
        <v>144.83775811209441</v>
      </c>
      <c r="J55" s="9">
        <f t="shared" si="1"/>
        <v>57.842920353982294</v>
      </c>
      <c r="K55" s="9">
        <f t="shared" si="2"/>
        <v>-3811</v>
      </c>
      <c r="O55" s="164">
        <f>E55</f>
        <v>9040</v>
      </c>
      <c r="P55" s="164">
        <f>F55</f>
        <v>7200</v>
      </c>
      <c r="Q55" s="164">
        <f>G55</f>
        <v>5229</v>
      </c>
      <c r="R55" s="164"/>
    </row>
    <row r="56" spans="1:31" ht="44.45" customHeight="1" x14ac:dyDescent="0.2">
      <c r="A56" s="8" t="s">
        <v>226</v>
      </c>
      <c r="B56" s="18" t="s">
        <v>225</v>
      </c>
      <c r="C56" s="21">
        <v>2135.6999999999998</v>
      </c>
      <c r="D56" s="17">
        <v>4500</v>
      </c>
      <c r="E56" s="17">
        <v>4560</v>
      </c>
      <c r="F56" s="17">
        <v>3960</v>
      </c>
      <c r="G56" s="21">
        <f>2924.3-171.3+0.1</f>
        <v>2753.1</v>
      </c>
      <c r="H56" s="13">
        <f t="shared" si="0"/>
        <v>617.40000000000009</v>
      </c>
      <c r="I56" s="13">
        <f>((G56/C56)*100)-100</f>
        <v>28.908554572271385</v>
      </c>
      <c r="J56" s="13">
        <f t="shared" si="1"/>
        <v>60.375</v>
      </c>
      <c r="K56" s="13">
        <f t="shared" si="2"/>
        <v>-1806.9</v>
      </c>
    </row>
    <row r="57" spans="1:31" ht="49.9" customHeight="1" x14ac:dyDescent="0.2">
      <c r="A57" s="8" t="s">
        <v>217</v>
      </c>
      <c r="B57" s="18" t="s">
        <v>218</v>
      </c>
      <c r="C57" s="21"/>
      <c r="D57" s="17">
        <v>2500</v>
      </c>
      <c r="E57" s="17">
        <v>2980</v>
      </c>
      <c r="F57" s="17">
        <v>1740</v>
      </c>
      <c r="G57" s="21">
        <v>1130</v>
      </c>
      <c r="H57" s="13">
        <f t="shared" si="0"/>
        <v>1130</v>
      </c>
      <c r="I57" s="13"/>
      <c r="J57" s="13">
        <f t="shared" si="1"/>
        <v>37.919463087248324</v>
      </c>
      <c r="K57" s="13">
        <f t="shared" si="2"/>
        <v>-1850</v>
      </c>
    </row>
    <row r="58" spans="1:31" ht="74.45" customHeight="1" x14ac:dyDescent="0.2">
      <c r="A58" s="8" t="s">
        <v>217</v>
      </c>
      <c r="B58" s="22" t="s">
        <v>82</v>
      </c>
      <c r="C58" s="21"/>
      <c r="D58" s="17"/>
      <c r="E58" s="17">
        <v>1500</v>
      </c>
      <c r="F58" s="17">
        <v>1500</v>
      </c>
      <c r="G58" s="21">
        <v>1345.9</v>
      </c>
      <c r="H58" s="13">
        <f t="shared" si="0"/>
        <v>1345.9</v>
      </c>
      <c r="I58" s="13"/>
      <c r="J58" s="13">
        <f t="shared" si="1"/>
        <v>89.726666666666674</v>
      </c>
      <c r="K58" s="13">
        <f t="shared" si="2"/>
        <v>-154.09999999999991</v>
      </c>
    </row>
    <row r="59" spans="1:31" ht="39" customHeight="1" x14ac:dyDescent="0.2">
      <c r="A59" s="8" t="s">
        <v>99</v>
      </c>
      <c r="B59" s="67" t="s">
        <v>23</v>
      </c>
      <c r="C59" s="19">
        <f>C61+C62+C64+C63</f>
        <v>15009.6</v>
      </c>
      <c r="D59" s="19">
        <f>D61+D62+D64+D63</f>
        <v>36443</v>
      </c>
      <c r="E59" s="19">
        <f>E61+E62+E64+E63</f>
        <v>36775.300000000003</v>
      </c>
      <c r="F59" s="19">
        <f>F61+F62+F64+F63</f>
        <v>26143.8</v>
      </c>
      <c r="G59" s="19">
        <f>G61+G62+G64+G63</f>
        <v>19733.2</v>
      </c>
      <c r="H59" s="13">
        <f t="shared" si="0"/>
        <v>4723.6000000000004</v>
      </c>
      <c r="I59" s="13">
        <f>((G59/C59)*100)-100</f>
        <v>31.470525530327251</v>
      </c>
      <c r="J59" s="13">
        <f t="shared" si="1"/>
        <v>53.658841668184898</v>
      </c>
      <c r="K59" s="13">
        <f t="shared" si="2"/>
        <v>-17042.100000000002</v>
      </c>
      <c r="N59" s="163">
        <v>5000</v>
      </c>
      <c r="O59" s="164">
        <f>E59+E199+E229</f>
        <v>40061.300000000003</v>
      </c>
      <c r="P59" s="164">
        <f>F59+F199+F229</f>
        <v>28729.8</v>
      </c>
      <c r="Q59" s="164">
        <f>G59+G199+G229</f>
        <v>20350.56655</v>
      </c>
    </row>
    <row r="60" spans="1:31" x14ac:dyDescent="0.2">
      <c r="A60" s="15"/>
      <c r="B60" s="18" t="s">
        <v>24</v>
      </c>
      <c r="C60" s="21"/>
      <c r="D60" s="17"/>
      <c r="E60" s="17"/>
      <c r="F60" s="17"/>
      <c r="G60" s="21"/>
      <c r="H60" s="13">
        <f t="shared" si="0"/>
        <v>0</v>
      </c>
      <c r="I60" s="13"/>
      <c r="J60" s="13"/>
      <c r="K60" s="13"/>
    </row>
    <row r="61" spans="1:31" x14ac:dyDescent="0.2">
      <c r="A61" s="15"/>
      <c r="B61" s="25" t="s">
        <v>25</v>
      </c>
      <c r="C61" s="21">
        <v>8535.1</v>
      </c>
      <c r="D61" s="17">
        <v>18288</v>
      </c>
      <c r="E61" s="17">
        <v>18357.400000000001</v>
      </c>
      <c r="F61" s="17">
        <v>13304.4</v>
      </c>
      <c r="G61" s="21">
        <v>9727.2000000000007</v>
      </c>
      <c r="H61" s="13">
        <f t="shared" si="0"/>
        <v>1192.1000000000004</v>
      </c>
      <c r="I61" s="13">
        <f>((G61/C61)*100)-100</f>
        <v>13.967030263265826</v>
      </c>
      <c r="J61" s="13">
        <f>G61/E61*100</f>
        <v>52.9878958893961</v>
      </c>
      <c r="K61" s="13">
        <f t="shared" si="2"/>
        <v>-8630.2000000000007</v>
      </c>
    </row>
    <row r="62" spans="1:31" x14ac:dyDescent="0.2">
      <c r="A62" s="15"/>
      <c r="B62" s="25" t="s">
        <v>54</v>
      </c>
      <c r="C62" s="21">
        <v>6409</v>
      </c>
      <c r="D62" s="17">
        <v>18155</v>
      </c>
      <c r="E62" s="17">
        <f>1400+800+562+150+2666.9+643+12100</f>
        <v>18321.900000000001</v>
      </c>
      <c r="F62" s="17">
        <f>1345+488+1868.9+431.5+8610</f>
        <v>12743.4</v>
      </c>
      <c r="G62" s="21">
        <v>9986</v>
      </c>
      <c r="H62" s="13">
        <f t="shared" si="0"/>
        <v>3577</v>
      </c>
      <c r="I62" s="13">
        <f>((G62/C62)*100)-100</f>
        <v>55.812139179279143</v>
      </c>
      <c r="J62" s="13">
        <f t="shared" si="1"/>
        <v>54.503081012340417</v>
      </c>
      <c r="K62" s="13">
        <f t="shared" si="2"/>
        <v>-8335.9000000000015</v>
      </c>
    </row>
    <row r="63" spans="1:31" s="24" customFormat="1" ht="104.25" customHeight="1" x14ac:dyDescent="0.2">
      <c r="A63" s="68"/>
      <c r="B63" s="22" t="s">
        <v>82</v>
      </c>
      <c r="C63" s="99">
        <v>15</v>
      </c>
      <c r="D63" s="99"/>
      <c r="E63" s="99">
        <v>55</v>
      </c>
      <c r="F63" s="99">
        <v>55</v>
      </c>
      <c r="G63" s="99"/>
      <c r="H63" s="13">
        <f t="shared" si="0"/>
        <v>-15</v>
      </c>
      <c r="I63" s="13">
        <f>((G63/C63)*100)-100</f>
        <v>-100</v>
      </c>
      <c r="J63" s="13">
        <f>G63/E63*100</f>
        <v>0</v>
      </c>
      <c r="K63" s="13">
        <f t="shared" si="2"/>
        <v>-55</v>
      </c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</row>
    <row r="64" spans="1:31" ht="75" x14ac:dyDescent="0.2">
      <c r="A64" s="15"/>
      <c r="B64" s="16" t="s">
        <v>58</v>
      </c>
      <c r="C64" s="17">
        <v>50.5</v>
      </c>
      <c r="D64" s="17"/>
      <c r="E64" s="17">
        <v>41</v>
      </c>
      <c r="F64" s="17">
        <v>41</v>
      </c>
      <c r="G64" s="17">
        <v>20</v>
      </c>
      <c r="H64" s="13">
        <f t="shared" si="0"/>
        <v>-30.5</v>
      </c>
      <c r="I64" s="13">
        <f>((G64/C64)*100)-100</f>
        <v>-60.396039603960396</v>
      </c>
      <c r="J64" s="13">
        <f t="shared" si="1"/>
        <v>48.780487804878049</v>
      </c>
      <c r="K64" s="13">
        <f t="shared" si="2"/>
        <v>-21</v>
      </c>
    </row>
    <row r="65" spans="1:18" ht="56.25" x14ac:dyDescent="0.2">
      <c r="A65" s="8" t="s">
        <v>159</v>
      </c>
      <c r="B65" s="18" t="s">
        <v>39</v>
      </c>
      <c r="C65" s="9">
        <v>6148.3</v>
      </c>
      <c r="D65" s="9">
        <v>41100</v>
      </c>
      <c r="E65" s="9">
        <f>10000+100+23000</f>
        <v>33100</v>
      </c>
      <c r="F65" s="9">
        <f>9600+100+12030</f>
        <v>21730</v>
      </c>
      <c r="G65" s="9">
        <f>9238.4+100+3926.5</f>
        <v>13264.9</v>
      </c>
      <c r="H65" s="13">
        <f t="shared" si="0"/>
        <v>7116.5999999999995</v>
      </c>
      <c r="I65" s="13">
        <f>((G65/C65)*100)-100</f>
        <v>115.74906884829952</v>
      </c>
      <c r="J65" s="13">
        <f t="shared" si="1"/>
        <v>40.075226586102715</v>
      </c>
      <c r="K65" s="13">
        <f t="shared" si="2"/>
        <v>-19835.099999999999</v>
      </c>
    </row>
    <row r="66" spans="1:18" ht="93.75" x14ac:dyDescent="0.2">
      <c r="A66" s="8" t="s">
        <v>160</v>
      </c>
      <c r="B66" s="25" t="s">
        <v>198</v>
      </c>
      <c r="C66" s="100">
        <v>205</v>
      </c>
      <c r="D66" s="9">
        <v>500</v>
      </c>
      <c r="E66" s="9">
        <v>500</v>
      </c>
      <c r="F66" s="9">
        <v>250</v>
      </c>
      <c r="G66" s="100">
        <v>172.3</v>
      </c>
      <c r="H66" s="13">
        <f t="shared" si="0"/>
        <v>-32.699999999999989</v>
      </c>
      <c r="I66" s="13"/>
      <c r="J66" s="13">
        <f t="shared" si="1"/>
        <v>34.46</v>
      </c>
      <c r="K66" s="13">
        <f t="shared" si="2"/>
        <v>-327.7</v>
      </c>
    </row>
    <row r="67" spans="1:18" ht="38.25" customHeight="1" x14ac:dyDescent="0.2">
      <c r="A67" s="8" t="s">
        <v>161</v>
      </c>
      <c r="B67" s="69" t="s">
        <v>162</v>
      </c>
      <c r="C67" s="19">
        <f>C69+C70+C71+C72+C73+C74+C75+C76+C77+C78+C80+C81+C82+C83+C84+C85</f>
        <v>10715.400000000001</v>
      </c>
      <c r="D67" s="19">
        <f>D69+D70+D71+D72+D73+D74+D75+D76+D77+D78+D80+D81+D82+D83+D84+D85</f>
        <v>33822.400000000001</v>
      </c>
      <c r="E67" s="19">
        <f>E69+E70+E71+E72+E73+E74+E75+E76+E77+E78+E80+E81+E82+E83+E84+E85+E79</f>
        <v>43008.1</v>
      </c>
      <c r="F67" s="19">
        <f>F69+F70+F71+F72+F73+F74+F75+F76+F77+F78+F80+F81+F82+F83+F84+F85+F79</f>
        <v>38996.6</v>
      </c>
      <c r="G67" s="19">
        <f>G69+G70+G71+G72+G73+G74+G75+G76+G77+G78+G80+G81+G82+G83+G84+G85+G79</f>
        <v>24205.199999999997</v>
      </c>
      <c r="H67" s="13">
        <f t="shared" si="0"/>
        <v>13489.799999999996</v>
      </c>
      <c r="I67" s="13">
        <f>((G67/C67)*100)-100</f>
        <v>125.89170726244464</v>
      </c>
      <c r="J67" s="13">
        <f t="shared" si="1"/>
        <v>56.280561103606061</v>
      </c>
      <c r="K67" s="13">
        <f t="shared" si="2"/>
        <v>-18802.900000000001</v>
      </c>
      <c r="O67" s="164">
        <f>E67+E237+E240+E241+E312+E313+E314+E320+E321</f>
        <v>994450.36189000017</v>
      </c>
      <c r="P67" s="164">
        <f>F67+F237+F240+F241+F312+F313+F314+F320+F321</f>
        <v>597844.55588999984</v>
      </c>
      <c r="Q67" s="164">
        <f>G67+G237+G240+G241+G312+G313+G314+G320+G321</f>
        <v>294786.25082999998</v>
      </c>
    </row>
    <row r="68" spans="1:18" x14ac:dyDescent="0.2">
      <c r="A68" s="15"/>
      <c r="B68" s="18" t="s">
        <v>24</v>
      </c>
      <c r="C68" s="21"/>
      <c r="D68" s="17"/>
      <c r="E68" s="17"/>
      <c r="F68" s="17"/>
      <c r="G68" s="21"/>
      <c r="H68" s="13">
        <f t="shared" si="0"/>
        <v>0</v>
      </c>
      <c r="I68" s="13"/>
      <c r="J68" s="13"/>
      <c r="K68" s="13">
        <f t="shared" si="2"/>
        <v>0</v>
      </c>
    </row>
    <row r="69" spans="1:18" ht="44.25" customHeight="1" x14ac:dyDescent="0.2">
      <c r="A69" s="8" t="s">
        <v>163</v>
      </c>
      <c r="B69" s="25" t="s">
        <v>164</v>
      </c>
      <c r="C69" s="21">
        <v>104.5</v>
      </c>
      <c r="D69" s="17">
        <v>358</v>
      </c>
      <c r="E69" s="17">
        <v>358</v>
      </c>
      <c r="F69" s="17">
        <v>308</v>
      </c>
      <c r="G69" s="21">
        <v>58.1</v>
      </c>
      <c r="H69" s="13">
        <f>G69-C69</f>
        <v>-46.4</v>
      </c>
      <c r="I69" s="13"/>
      <c r="J69" s="13">
        <f t="shared" ref="J69:J81" si="3">G69/E69*100</f>
        <v>16.229050279329609</v>
      </c>
      <c r="K69" s="13">
        <f>G69-E69</f>
        <v>-299.89999999999998</v>
      </c>
    </row>
    <row r="70" spans="1:18" ht="55.15" customHeight="1" x14ac:dyDescent="0.2">
      <c r="A70" s="8" t="s">
        <v>165</v>
      </c>
      <c r="B70" s="25" t="s">
        <v>166</v>
      </c>
      <c r="C70" s="21">
        <v>406.2</v>
      </c>
      <c r="D70" s="17">
        <v>3750</v>
      </c>
      <c r="E70" s="17">
        <v>3681.1</v>
      </c>
      <c r="F70" s="17">
        <v>2773.1</v>
      </c>
      <c r="G70" s="21">
        <v>1096.2</v>
      </c>
      <c r="H70" s="13">
        <f>G70-C70</f>
        <v>690</v>
      </c>
      <c r="I70" s="13"/>
      <c r="J70" s="13">
        <f t="shared" si="3"/>
        <v>29.779142104262313</v>
      </c>
      <c r="K70" s="13">
        <f>G70-E70</f>
        <v>-2584.8999999999996</v>
      </c>
      <c r="N70" s="163">
        <v>7300</v>
      </c>
      <c r="O70" s="164">
        <f>E70+E71+E237+E312+E313+E314+E320+E321</f>
        <v>630828.54589000007</v>
      </c>
      <c r="P70" s="164">
        <f>F70+F71+F237+F312+F313+F314+F320+F321</f>
        <v>295123.23988999997</v>
      </c>
      <c r="Q70" s="164">
        <f>G70+G71+G237+G312+G313+G314+G320+G321</f>
        <v>39264.390879999999</v>
      </c>
    </row>
    <row r="71" spans="1:18" ht="44.25" customHeight="1" x14ac:dyDescent="0.2">
      <c r="A71" s="8" t="s">
        <v>167</v>
      </c>
      <c r="B71" s="25" t="s">
        <v>26</v>
      </c>
      <c r="C71" s="21">
        <v>431.4</v>
      </c>
      <c r="D71" s="17">
        <v>1000</v>
      </c>
      <c r="E71" s="17">
        <v>1049.9000000000001</v>
      </c>
      <c r="F71" s="17">
        <v>815.9</v>
      </c>
      <c r="G71" s="21">
        <v>447.1</v>
      </c>
      <c r="H71" s="13">
        <f>G71-C71</f>
        <v>15.700000000000045</v>
      </c>
      <c r="I71" s="13"/>
      <c r="J71" s="13">
        <f t="shared" si="3"/>
        <v>42.58500809600914</v>
      </c>
      <c r="K71" s="13">
        <f>G71-E71</f>
        <v>-602.80000000000007</v>
      </c>
    </row>
    <row r="72" spans="1:18" ht="57.6" customHeight="1" x14ac:dyDescent="0.2">
      <c r="A72" s="8" t="s">
        <v>234</v>
      </c>
      <c r="B72" s="25" t="s">
        <v>235</v>
      </c>
      <c r="C72" s="21"/>
      <c r="D72" s="17"/>
      <c r="E72" s="17">
        <v>8000</v>
      </c>
      <c r="F72" s="17">
        <v>8000</v>
      </c>
      <c r="G72" s="21"/>
      <c r="H72" s="13">
        <f t="shared" ref="H72:H85" si="4">G72-C72</f>
        <v>0</v>
      </c>
      <c r="I72" s="13"/>
      <c r="J72" s="13">
        <f t="shared" si="3"/>
        <v>0</v>
      </c>
      <c r="K72" s="13">
        <f>G72-E72</f>
        <v>-8000</v>
      </c>
      <c r="N72" s="163">
        <v>7400</v>
      </c>
      <c r="O72" s="164">
        <f>E72+E73+E240</f>
        <v>192715.2</v>
      </c>
      <c r="P72" s="164">
        <f>F72+F73+F240</f>
        <v>190715.2</v>
      </c>
      <c r="Q72" s="164">
        <f>G72+G73+G240</f>
        <v>176228</v>
      </c>
    </row>
    <row r="73" spans="1:18" ht="64.900000000000006" customHeight="1" x14ac:dyDescent="0.2">
      <c r="A73" s="8" t="s">
        <v>170</v>
      </c>
      <c r="B73" s="25" t="s">
        <v>171</v>
      </c>
      <c r="C73" s="21">
        <v>8878.6</v>
      </c>
      <c r="D73" s="17">
        <v>24000</v>
      </c>
      <c r="E73" s="17">
        <v>24000</v>
      </c>
      <c r="F73" s="17">
        <v>22000</v>
      </c>
      <c r="G73" s="17">
        <v>19512.8</v>
      </c>
      <c r="H73" s="13">
        <f t="shared" si="4"/>
        <v>10634.199999999999</v>
      </c>
      <c r="I73" s="13"/>
      <c r="J73" s="13">
        <f t="shared" si="3"/>
        <v>81.303333333333327</v>
      </c>
      <c r="K73" s="13">
        <f t="shared" ref="K73:K85" si="5">G73-E73</f>
        <v>-4487.2000000000007</v>
      </c>
    </row>
    <row r="74" spans="1:18" ht="55.15" customHeight="1" x14ac:dyDescent="0.2">
      <c r="A74" s="8" t="s">
        <v>168</v>
      </c>
      <c r="B74" s="25" t="s">
        <v>169</v>
      </c>
      <c r="C74" s="21">
        <v>2</v>
      </c>
      <c r="D74" s="17">
        <v>550</v>
      </c>
      <c r="E74" s="17">
        <v>586</v>
      </c>
      <c r="F74" s="17">
        <v>436</v>
      </c>
      <c r="G74" s="21">
        <v>198.1</v>
      </c>
      <c r="H74" s="13">
        <f t="shared" si="4"/>
        <v>196.1</v>
      </c>
      <c r="I74" s="13"/>
      <c r="J74" s="13">
        <f t="shared" si="3"/>
        <v>33.805460750853236</v>
      </c>
      <c r="K74" s="13">
        <f t="shared" si="5"/>
        <v>-387.9</v>
      </c>
      <c r="N74" s="163">
        <v>7600</v>
      </c>
      <c r="O74" s="164">
        <f>E74+E75+E76+E77+E78+E80+E81+E82+E83+E84+E85+E241</f>
        <v>170538.11600000001</v>
      </c>
      <c r="P74" s="164">
        <f>F74+F75+F76+F77+F78+F80+F81+F82+F83+F84+F85+F241</f>
        <v>111687.61600000001</v>
      </c>
      <c r="Q74" s="164">
        <f>G74+G75+G76+G77+G78+G80+G81+G82+G83+G84+G85+G241</f>
        <v>79225.259950000007</v>
      </c>
      <c r="R74" s="164">
        <f>H74+H75+H76+H77+H78+H80+H81+H82+H83+H84+H85+H243</f>
        <v>21412.685000000001</v>
      </c>
    </row>
    <row r="75" spans="1:18" ht="55.15" customHeight="1" x14ac:dyDescent="0.2">
      <c r="A75" s="8" t="s">
        <v>172</v>
      </c>
      <c r="B75" s="25" t="s">
        <v>173</v>
      </c>
      <c r="C75" s="21">
        <v>101.5</v>
      </c>
      <c r="D75" s="17">
        <v>550</v>
      </c>
      <c r="E75" s="17">
        <v>632</v>
      </c>
      <c r="F75" s="17">
        <v>494</v>
      </c>
      <c r="G75" s="21">
        <v>232.2</v>
      </c>
      <c r="H75" s="13">
        <f t="shared" si="4"/>
        <v>130.69999999999999</v>
      </c>
      <c r="I75" s="13"/>
      <c r="J75" s="13">
        <f t="shared" si="3"/>
        <v>36.74050632911392</v>
      </c>
      <c r="K75" s="13">
        <f t="shared" si="5"/>
        <v>-399.8</v>
      </c>
    </row>
    <row r="76" spans="1:18" ht="55.15" customHeight="1" x14ac:dyDescent="0.2">
      <c r="A76" s="8" t="s">
        <v>174</v>
      </c>
      <c r="B76" s="25" t="s">
        <v>175</v>
      </c>
      <c r="C76" s="21">
        <v>10.7</v>
      </c>
      <c r="D76" s="17">
        <v>200</v>
      </c>
      <c r="E76" s="17">
        <v>200</v>
      </c>
      <c r="F76" s="17">
        <v>167.5</v>
      </c>
      <c r="G76" s="21">
        <v>31.1</v>
      </c>
      <c r="H76" s="13">
        <f t="shared" si="4"/>
        <v>20.400000000000002</v>
      </c>
      <c r="I76" s="13"/>
      <c r="J76" s="13">
        <f t="shared" si="3"/>
        <v>15.55</v>
      </c>
      <c r="K76" s="13">
        <f t="shared" si="5"/>
        <v>-168.9</v>
      </c>
    </row>
    <row r="77" spans="1:18" ht="55.15" customHeight="1" x14ac:dyDescent="0.2">
      <c r="A77" s="8" t="s">
        <v>176</v>
      </c>
      <c r="B77" s="25" t="s">
        <v>177</v>
      </c>
      <c r="C77" s="21">
        <v>127.3</v>
      </c>
      <c r="D77" s="17">
        <v>300</v>
      </c>
      <c r="E77" s="17">
        <v>300</v>
      </c>
      <c r="F77" s="17">
        <v>150</v>
      </c>
      <c r="G77" s="21">
        <v>75</v>
      </c>
      <c r="H77" s="13">
        <f t="shared" si="4"/>
        <v>-52.3</v>
      </c>
      <c r="I77" s="13"/>
      <c r="J77" s="13">
        <f t="shared" si="3"/>
        <v>25</v>
      </c>
      <c r="K77" s="13">
        <f t="shared" si="5"/>
        <v>-225</v>
      </c>
    </row>
    <row r="78" spans="1:18" ht="138.75" customHeight="1" x14ac:dyDescent="0.2">
      <c r="A78" s="8" t="s">
        <v>178</v>
      </c>
      <c r="B78" s="25" t="s">
        <v>238</v>
      </c>
      <c r="C78" s="21"/>
      <c r="D78" s="17">
        <v>1000</v>
      </c>
      <c r="E78" s="17">
        <v>957.1</v>
      </c>
      <c r="F78" s="17">
        <v>957.1</v>
      </c>
      <c r="G78" s="21">
        <v>284.3</v>
      </c>
      <c r="H78" s="13">
        <f t="shared" si="4"/>
        <v>284.3</v>
      </c>
      <c r="I78" s="13"/>
      <c r="J78" s="13">
        <f t="shared" si="3"/>
        <v>29.704315118587399</v>
      </c>
      <c r="K78" s="13">
        <f t="shared" si="5"/>
        <v>-672.8</v>
      </c>
    </row>
    <row r="79" spans="1:18" ht="71.45" customHeight="1" x14ac:dyDescent="0.2">
      <c r="A79" s="8" t="s">
        <v>178</v>
      </c>
      <c r="B79" s="25" t="s">
        <v>344</v>
      </c>
      <c r="C79" s="21"/>
      <c r="D79" s="17"/>
      <c r="E79" s="17">
        <v>10.5</v>
      </c>
      <c r="F79" s="17">
        <v>10.5</v>
      </c>
      <c r="G79" s="21">
        <v>10.5</v>
      </c>
      <c r="H79" s="13">
        <f t="shared" si="4"/>
        <v>10.5</v>
      </c>
      <c r="I79" s="13"/>
      <c r="J79" s="13">
        <f t="shared" si="3"/>
        <v>100</v>
      </c>
      <c r="K79" s="13">
        <f t="shared" si="5"/>
        <v>0</v>
      </c>
    </row>
    <row r="80" spans="1:18" ht="117" customHeight="1" x14ac:dyDescent="0.2">
      <c r="A80" s="8" t="s">
        <v>178</v>
      </c>
      <c r="B80" s="25" t="s">
        <v>239</v>
      </c>
      <c r="C80" s="21"/>
      <c r="D80" s="17">
        <v>204.4</v>
      </c>
      <c r="E80" s="17">
        <v>193.9</v>
      </c>
      <c r="F80" s="17">
        <v>193.9</v>
      </c>
      <c r="G80" s="21">
        <v>0</v>
      </c>
      <c r="H80" s="13">
        <f t="shared" si="4"/>
        <v>0</v>
      </c>
      <c r="I80" s="13"/>
      <c r="J80" s="13">
        <f t="shared" si="3"/>
        <v>0</v>
      </c>
      <c r="K80" s="13">
        <f t="shared" si="5"/>
        <v>-193.9</v>
      </c>
    </row>
    <row r="81" spans="1:17" ht="55.15" customHeight="1" x14ac:dyDescent="0.2">
      <c r="A81" s="8" t="s">
        <v>178</v>
      </c>
      <c r="B81" s="25" t="s">
        <v>237</v>
      </c>
      <c r="C81" s="21"/>
      <c r="D81" s="17">
        <v>50</v>
      </c>
      <c r="E81" s="17">
        <v>50</v>
      </c>
      <c r="F81" s="17">
        <v>47</v>
      </c>
      <c r="G81" s="21">
        <v>40</v>
      </c>
      <c r="H81" s="13">
        <f t="shared" si="4"/>
        <v>40</v>
      </c>
      <c r="I81" s="13"/>
      <c r="J81" s="13">
        <f t="shared" si="3"/>
        <v>80</v>
      </c>
      <c r="K81" s="13">
        <f t="shared" si="5"/>
        <v>-10</v>
      </c>
    </row>
    <row r="82" spans="1:17" ht="64.150000000000006" customHeight="1" x14ac:dyDescent="0.2">
      <c r="A82" s="8" t="s">
        <v>178</v>
      </c>
      <c r="B82" s="26" t="s">
        <v>199</v>
      </c>
      <c r="C82" s="21">
        <v>38.6</v>
      </c>
      <c r="D82" s="17">
        <v>480</v>
      </c>
      <c r="E82" s="17">
        <v>480</v>
      </c>
      <c r="F82" s="17">
        <v>324</v>
      </c>
      <c r="G82" s="21">
        <v>145.19999999999999</v>
      </c>
      <c r="H82" s="13">
        <f t="shared" si="4"/>
        <v>106.6</v>
      </c>
      <c r="I82" s="13"/>
      <c r="J82" s="13">
        <f>G82/E82*100</f>
        <v>30.25</v>
      </c>
      <c r="K82" s="13">
        <f t="shared" si="5"/>
        <v>-334.8</v>
      </c>
    </row>
    <row r="83" spans="1:17" ht="77.25" customHeight="1" x14ac:dyDescent="0.2">
      <c r="A83" s="8" t="s">
        <v>178</v>
      </c>
      <c r="B83" s="27" t="s">
        <v>236</v>
      </c>
      <c r="C83" s="21">
        <v>329.9</v>
      </c>
      <c r="D83" s="17">
        <v>700</v>
      </c>
      <c r="E83" s="17">
        <v>1463</v>
      </c>
      <c r="F83" s="17">
        <v>1323</v>
      </c>
      <c r="G83" s="21">
        <v>1280.5</v>
      </c>
      <c r="H83" s="13">
        <f t="shared" si="4"/>
        <v>950.6</v>
      </c>
      <c r="I83" s="13"/>
      <c r="J83" s="13">
        <f>G83/E83*100</f>
        <v>87.525632262474375</v>
      </c>
      <c r="K83" s="13">
        <f t="shared" si="5"/>
        <v>-182.5</v>
      </c>
    </row>
    <row r="84" spans="1:17" ht="51" customHeight="1" x14ac:dyDescent="0.2">
      <c r="A84" s="8" t="s">
        <v>178</v>
      </c>
      <c r="B84" s="28" t="s">
        <v>200</v>
      </c>
      <c r="C84" s="21">
        <v>281.7</v>
      </c>
      <c r="D84" s="17">
        <v>580</v>
      </c>
      <c r="E84" s="17">
        <v>946.6</v>
      </c>
      <c r="F84" s="17">
        <v>916.6</v>
      </c>
      <c r="G84" s="21">
        <v>776</v>
      </c>
      <c r="H84" s="13">
        <f t="shared" si="4"/>
        <v>494.3</v>
      </c>
      <c r="I84" s="13">
        <f>((G84/C84)*100)-100</f>
        <v>175.4703585374512</v>
      </c>
      <c r="J84" s="13"/>
      <c r="K84" s="13">
        <f t="shared" si="5"/>
        <v>-170.60000000000002</v>
      </c>
    </row>
    <row r="85" spans="1:17" ht="101.25" customHeight="1" x14ac:dyDescent="0.2">
      <c r="A85" s="8" t="s">
        <v>178</v>
      </c>
      <c r="B85" s="29" t="s">
        <v>112</v>
      </c>
      <c r="C85" s="17">
        <v>3</v>
      </c>
      <c r="D85" s="17">
        <v>100</v>
      </c>
      <c r="E85" s="17">
        <v>100</v>
      </c>
      <c r="F85" s="17">
        <v>80</v>
      </c>
      <c r="G85" s="17">
        <v>18.100000000000001</v>
      </c>
      <c r="H85" s="13">
        <f t="shared" si="4"/>
        <v>15.100000000000001</v>
      </c>
      <c r="I85" s="13"/>
      <c r="J85" s="13">
        <f>G85/E85*100</f>
        <v>18.100000000000001</v>
      </c>
      <c r="K85" s="13">
        <f t="shared" si="5"/>
        <v>-81.900000000000006</v>
      </c>
    </row>
    <row r="86" spans="1:17" ht="40.5" customHeight="1" x14ac:dyDescent="0.2">
      <c r="A86" s="8" t="s">
        <v>110</v>
      </c>
      <c r="B86" s="70" t="s">
        <v>27</v>
      </c>
      <c r="C86" s="19">
        <v>763.7</v>
      </c>
      <c r="D86" s="19">
        <v>53500</v>
      </c>
      <c r="E86" s="19">
        <v>53500</v>
      </c>
      <c r="F86" s="19">
        <v>28810</v>
      </c>
      <c r="G86" s="19">
        <v>27108.400000000001</v>
      </c>
      <c r="H86" s="9">
        <f t="shared" si="0"/>
        <v>26344.7</v>
      </c>
      <c r="I86" s="9">
        <f>((G86/C86)*100)-100</f>
        <v>3449.6137226659685</v>
      </c>
      <c r="J86" s="9">
        <f t="shared" si="1"/>
        <v>50.669906542056076</v>
      </c>
      <c r="K86" s="9">
        <f t="shared" si="2"/>
        <v>-26391.599999999999</v>
      </c>
      <c r="L86" s="164">
        <f>G86+G88+G93+G94+G95+G96+G99+G201+G202+G203+G58+G57+G56</f>
        <v>40619.600000000006</v>
      </c>
      <c r="O86" s="164">
        <f>E86</f>
        <v>53500</v>
      </c>
      <c r="P86" s="164">
        <f>F86</f>
        <v>28810</v>
      </c>
      <c r="Q86" s="164">
        <f>G86</f>
        <v>27108.400000000001</v>
      </c>
    </row>
    <row r="87" spans="1:17" ht="24" customHeight="1" x14ac:dyDescent="0.2">
      <c r="A87" s="92" t="s">
        <v>179</v>
      </c>
      <c r="B87" s="70" t="s">
        <v>28</v>
      </c>
      <c r="C87" s="65"/>
      <c r="D87" s="19">
        <v>1000</v>
      </c>
      <c r="E87" s="19">
        <v>1039.9000000000001</v>
      </c>
      <c r="F87" s="19">
        <v>863</v>
      </c>
      <c r="G87" s="65"/>
      <c r="H87" s="9">
        <f t="shared" si="0"/>
        <v>0</v>
      </c>
      <c r="I87" s="9"/>
      <c r="J87" s="9">
        <f t="shared" si="1"/>
        <v>0</v>
      </c>
      <c r="K87" s="9">
        <f t="shared" si="2"/>
        <v>-1039.9000000000001</v>
      </c>
    </row>
    <row r="88" spans="1:17" ht="60.6" customHeight="1" x14ac:dyDescent="0.2">
      <c r="A88" s="71" t="s">
        <v>180</v>
      </c>
      <c r="B88" s="72" t="s">
        <v>181</v>
      </c>
      <c r="C88" s="101">
        <f>C90+C91+C92</f>
        <v>82</v>
      </c>
      <c r="D88" s="101">
        <f>D90+D91+D92</f>
        <v>300</v>
      </c>
      <c r="E88" s="101">
        <f>E90+E91+E92</f>
        <v>582.29999999999995</v>
      </c>
      <c r="F88" s="101">
        <f>F90+F91+F92</f>
        <v>547.29999999999995</v>
      </c>
      <c r="G88" s="101">
        <f>G90+G91+G92</f>
        <v>316</v>
      </c>
      <c r="H88" s="13">
        <f t="shared" si="0"/>
        <v>234</v>
      </c>
      <c r="I88" s="13">
        <f>((G88/C88)*100)-100</f>
        <v>285.36585365853659</v>
      </c>
      <c r="J88" s="13">
        <f t="shared" si="1"/>
        <v>54.267559677142373</v>
      </c>
      <c r="K88" s="13">
        <f t="shared" si="2"/>
        <v>-266.29999999999995</v>
      </c>
      <c r="N88" s="163">
        <v>8100</v>
      </c>
      <c r="O88" s="164">
        <f>E88+E96+E246</f>
        <v>3709.8</v>
      </c>
      <c r="P88" s="164">
        <f>F88+F96+F246</f>
        <v>2219.8000000000002</v>
      </c>
      <c r="Q88" s="164">
        <f>G88+G96+G246</f>
        <v>1853.636</v>
      </c>
    </row>
    <row r="89" spans="1:17" ht="25.15" customHeight="1" x14ac:dyDescent="0.2">
      <c r="A89" s="92"/>
      <c r="B89" s="73" t="s">
        <v>201</v>
      </c>
      <c r="C89" s="65"/>
      <c r="D89" s="19"/>
      <c r="E89" s="19"/>
      <c r="F89" s="19"/>
      <c r="G89" s="65"/>
      <c r="H89" s="13">
        <f t="shared" si="0"/>
        <v>0</v>
      </c>
      <c r="I89" s="13"/>
      <c r="J89" s="13"/>
      <c r="K89" s="13">
        <f t="shared" si="2"/>
        <v>0</v>
      </c>
    </row>
    <row r="90" spans="1:17" ht="113.45" customHeight="1" x14ac:dyDescent="0.2">
      <c r="A90" s="11"/>
      <c r="B90" s="25" t="s">
        <v>86</v>
      </c>
      <c r="C90" s="21"/>
      <c r="D90" s="17">
        <v>250</v>
      </c>
      <c r="E90" s="17">
        <v>250</v>
      </c>
      <c r="F90" s="17">
        <v>220</v>
      </c>
      <c r="G90" s="21"/>
      <c r="H90" s="13">
        <f t="shared" si="0"/>
        <v>0</v>
      </c>
      <c r="I90" s="13"/>
      <c r="J90" s="13">
        <f t="shared" si="1"/>
        <v>0</v>
      </c>
      <c r="K90" s="13">
        <f t="shared" si="2"/>
        <v>-250</v>
      </c>
    </row>
    <row r="91" spans="1:17" ht="142.5" customHeight="1" x14ac:dyDescent="0.2">
      <c r="A91" s="11"/>
      <c r="B91" s="25" t="s">
        <v>87</v>
      </c>
      <c r="C91" s="21"/>
      <c r="D91" s="17">
        <v>50</v>
      </c>
      <c r="E91" s="17">
        <v>50</v>
      </c>
      <c r="F91" s="17">
        <v>45</v>
      </c>
      <c r="G91" s="21">
        <v>39.9</v>
      </c>
      <c r="H91" s="13">
        <f t="shared" si="0"/>
        <v>39.9</v>
      </c>
      <c r="I91" s="13"/>
      <c r="J91" s="13">
        <f t="shared" si="1"/>
        <v>79.8</v>
      </c>
      <c r="K91" s="13">
        <f t="shared" si="2"/>
        <v>-10.100000000000001</v>
      </c>
    </row>
    <row r="92" spans="1:17" ht="29.25" customHeight="1" x14ac:dyDescent="0.2">
      <c r="A92" s="11"/>
      <c r="B92" s="25" t="s">
        <v>202</v>
      </c>
      <c r="C92" s="17">
        <v>82</v>
      </c>
      <c r="D92" s="17"/>
      <c r="E92" s="17">
        <v>282.3</v>
      </c>
      <c r="F92" s="17">
        <v>282.3</v>
      </c>
      <c r="G92" s="17">
        <v>276.10000000000002</v>
      </c>
      <c r="H92" s="13">
        <f t="shared" si="0"/>
        <v>194.10000000000002</v>
      </c>
      <c r="I92" s="13">
        <f>((G92/C92)*100)-100</f>
        <v>236.70731707317077</v>
      </c>
      <c r="J92" s="13">
        <f>G92/E92*100</f>
        <v>97.803754870704935</v>
      </c>
      <c r="K92" s="13">
        <f t="shared" si="2"/>
        <v>-6.1999999999999886</v>
      </c>
    </row>
    <row r="93" spans="1:17" ht="138" customHeight="1" x14ac:dyDescent="0.2">
      <c r="A93" s="8" t="s">
        <v>182</v>
      </c>
      <c r="B93" s="89" t="s">
        <v>240</v>
      </c>
      <c r="C93" s="19">
        <v>293.5</v>
      </c>
      <c r="D93" s="19">
        <v>800</v>
      </c>
      <c r="E93" s="19">
        <v>684.5</v>
      </c>
      <c r="F93" s="19">
        <v>534.5</v>
      </c>
      <c r="G93" s="19">
        <v>201.3</v>
      </c>
      <c r="H93" s="13">
        <f t="shared" si="0"/>
        <v>-92.199999999999989</v>
      </c>
      <c r="I93" s="13">
        <f>((G93/C93)*100)-100</f>
        <v>-31.413969335604762</v>
      </c>
      <c r="J93" s="13">
        <f>G93/E93*100</f>
        <v>29.408327246165083</v>
      </c>
      <c r="K93" s="13">
        <f t="shared" si="2"/>
        <v>-483.2</v>
      </c>
      <c r="N93" s="163">
        <v>8200</v>
      </c>
      <c r="O93" s="164">
        <f>E93+E99+E201+E202+E203+E247</f>
        <v>9997.5430000000015</v>
      </c>
      <c r="P93" s="164">
        <f>F93+F99+F201+F202+F203+F247</f>
        <v>8060.5429999999997</v>
      </c>
      <c r="Q93" s="164">
        <f>G93+G99+G201+G202+G203+G247</f>
        <v>6383.1119200000003</v>
      </c>
    </row>
    <row r="94" spans="1:17" ht="138" customHeight="1" x14ac:dyDescent="0.2">
      <c r="A94" s="8" t="s">
        <v>353</v>
      </c>
      <c r="B94" s="89" t="s">
        <v>354</v>
      </c>
      <c r="C94" s="19"/>
      <c r="D94" s="19"/>
      <c r="E94" s="19">
        <v>42.5</v>
      </c>
      <c r="F94" s="19">
        <v>42.5</v>
      </c>
      <c r="G94" s="19">
        <v>0</v>
      </c>
      <c r="H94" s="13">
        <f t="shared" si="0"/>
        <v>0</v>
      </c>
      <c r="I94" s="13"/>
      <c r="J94" s="13">
        <f>G94/E94*100</f>
        <v>0</v>
      </c>
      <c r="K94" s="13">
        <f t="shared" si="2"/>
        <v>-42.5</v>
      </c>
      <c r="O94" s="164"/>
      <c r="P94" s="164"/>
      <c r="Q94" s="164"/>
    </row>
    <row r="95" spans="1:17" ht="85.9" customHeight="1" x14ac:dyDescent="0.2">
      <c r="A95" s="8" t="s">
        <v>241</v>
      </c>
      <c r="B95" s="88" t="s">
        <v>321</v>
      </c>
      <c r="C95" s="21">
        <v>48.9</v>
      </c>
      <c r="D95" s="102"/>
      <c r="E95" s="21">
        <v>190.5</v>
      </c>
      <c r="F95" s="21">
        <v>190.5</v>
      </c>
      <c r="G95" s="21">
        <v>130.5</v>
      </c>
      <c r="H95" s="13">
        <f t="shared" si="0"/>
        <v>81.599999999999994</v>
      </c>
      <c r="I95" s="13">
        <f>((G95/C95)*100)-100</f>
        <v>166.87116564417181</v>
      </c>
      <c r="J95" s="13">
        <f t="shared" si="1"/>
        <v>68.503937007874015</v>
      </c>
      <c r="K95" s="13">
        <f t="shared" si="2"/>
        <v>-60</v>
      </c>
    </row>
    <row r="96" spans="1:17" ht="56.25" customHeight="1" x14ac:dyDescent="0.2">
      <c r="A96" s="74" t="s">
        <v>183</v>
      </c>
      <c r="B96" s="75" t="s">
        <v>184</v>
      </c>
      <c r="C96" s="65">
        <f>C97+C98</f>
        <v>1256.5999999999999</v>
      </c>
      <c r="D96" s="65">
        <f>D97+D98</f>
        <v>3000</v>
      </c>
      <c r="E96" s="65">
        <f>E97+E98</f>
        <v>3089</v>
      </c>
      <c r="F96" s="65">
        <f>F97+F98</f>
        <v>1634</v>
      </c>
      <c r="G96" s="65">
        <f>G97+G98</f>
        <v>1499.2</v>
      </c>
      <c r="H96" s="13">
        <f t="shared" si="0"/>
        <v>242.60000000000014</v>
      </c>
      <c r="I96" s="13"/>
      <c r="J96" s="13">
        <f t="shared" si="1"/>
        <v>48.533505988993205</v>
      </c>
      <c r="K96" s="13">
        <f t="shared" si="2"/>
        <v>-1589.8</v>
      </c>
    </row>
    <row r="97" spans="1:17" ht="56.25" customHeight="1" x14ac:dyDescent="0.2">
      <c r="A97" s="74"/>
      <c r="B97" s="76" t="s">
        <v>184</v>
      </c>
      <c r="C97" s="96">
        <v>1256.5999999999999</v>
      </c>
      <c r="D97" s="13">
        <v>3000</v>
      </c>
      <c r="E97" s="13">
        <v>3000</v>
      </c>
      <c r="F97" s="13">
        <v>1545</v>
      </c>
      <c r="G97" s="96">
        <v>1410.3</v>
      </c>
      <c r="H97" s="13">
        <f t="shared" si="0"/>
        <v>153.70000000000005</v>
      </c>
      <c r="I97" s="13"/>
      <c r="J97" s="13">
        <f t="shared" si="1"/>
        <v>47.01</v>
      </c>
      <c r="K97" s="13">
        <f t="shared" si="2"/>
        <v>-1589.7</v>
      </c>
    </row>
    <row r="98" spans="1:17" ht="56.25" customHeight="1" x14ac:dyDescent="0.2">
      <c r="A98" s="74"/>
      <c r="B98" s="25" t="s">
        <v>202</v>
      </c>
      <c r="C98" s="96"/>
      <c r="D98" s="13"/>
      <c r="E98" s="13">
        <v>89</v>
      </c>
      <c r="F98" s="13">
        <v>89</v>
      </c>
      <c r="G98" s="13">
        <v>88.9</v>
      </c>
      <c r="H98" s="13">
        <f t="shared" si="0"/>
        <v>88.9</v>
      </c>
      <c r="I98" s="13"/>
      <c r="J98" s="13">
        <f t="shared" si="1"/>
        <v>99.887640449438209</v>
      </c>
      <c r="K98" s="13">
        <f t="shared" si="2"/>
        <v>-9.9999999999994316E-2</v>
      </c>
    </row>
    <row r="99" spans="1:17" ht="79.5" customHeight="1" x14ac:dyDescent="0.2">
      <c r="A99" s="74" t="s">
        <v>185</v>
      </c>
      <c r="B99" s="67" t="s">
        <v>186</v>
      </c>
      <c r="C99" s="19">
        <f>C101+C102</f>
        <v>3586.1000000000004</v>
      </c>
      <c r="D99" s="19">
        <f>D101+D102</f>
        <v>8700</v>
      </c>
      <c r="E99" s="19">
        <f>E101+E102</f>
        <v>8700</v>
      </c>
      <c r="F99" s="19">
        <f>F101+F102</f>
        <v>6913</v>
      </c>
      <c r="G99" s="19">
        <f>G101+G102</f>
        <v>6004.4999999999991</v>
      </c>
      <c r="H99" s="13">
        <f t="shared" si="0"/>
        <v>2418.3999999999987</v>
      </c>
      <c r="I99" s="13">
        <f>((G99/C99)*100)-100</f>
        <v>67.438164022196787</v>
      </c>
      <c r="J99" s="13">
        <f t="shared" si="1"/>
        <v>69.017241379310335</v>
      </c>
      <c r="K99" s="13">
        <f t="shared" si="2"/>
        <v>-2695.5000000000009</v>
      </c>
      <c r="L99" s="164">
        <f>E99+E201+E202+E203</f>
        <v>9219.0000000000018</v>
      </c>
      <c r="M99" s="164">
        <f>F99+F201+F202+F203</f>
        <v>7432</v>
      </c>
      <c r="N99" s="164">
        <f>G99+G201+G202+G203</f>
        <v>6135.2</v>
      </c>
    </row>
    <row r="100" spans="1:17" ht="18" customHeight="1" x14ac:dyDescent="0.2">
      <c r="A100" s="103"/>
      <c r="B100" s="67" t="s">
        <v>24</v>
      </c>
      <c r="C100" s="65"/>
      <c r="D100" s="19"/>
      <c r="E100" s="19"/>
      <c r="F100" s="19"/>
      <c r="G100" s="65"/>
      <c r="H100" s="13"/>
      <c r="I100" s="13"/>
      <c r="J100" s="13"/>
      <c r="K100" s="13"/>
    </row>
    <row r="101" spans="1:17" ht="54.75" customHeight="1" x14ac:dyDescent="0.2">
      <c r="A101" s="103"/>
      <c r="B101" s="25" t="s">
        <v>274</v>
      </c>
      <c r="C101" s="17">
        <v>96.8</v>
      </c>
      <c r="D101" s="17">
        <v>200</v>
      </c>
      <c r="E101" s="17">
        <v>200</v>
      </c>
      <c r="F101" s="17">
        <v>113</v>
      </c>
      <c r="G101" s="17">
        <f>113-14.5</f>
        <v>98.5</v>
      </c>
      <c r="H101" s="13">
        <f>G101-C101</f>
        <v>1.7000000000000028</v>
      </c>
      <c r="I101" s="13">
        <f>((G101/C101)*100)-100</f>
        <v>1.7561983471074569</v>
      </c>
      <c r="J101" s="13">
        <f>G101/E101*100</f>
        <v>49.25</v>
      </c>
      <c r="K101" s="13">
        <f>G101-E101</f>
        <v>-101.5</v>
      </c>
    </row>
    <row r="102" spans="1:17" ht="57" customHeight="1" x14ac:dyDescent="0.2">
      <c r="A102" s="103"/>
      <c r="B102" s="79" t="s">
        <v>203</v>
      </c>
      <c r="C102" s="21">
        <v>3489.3</v>
      </c>
      <c r="D102" s="17">
        <v>8500</v>
      </c>
      <c r="E102" s="17">
        <v>8500</v>
      </c>
      <c r="F102" s="17">
        <v>6800</v>
      </c>
      <c r="G102" s="21">
        <f>6515.5-595.8-0.1-13.6</f>
        <v>5905.9999999999991</v>
      </c>
      <c r="H102" s="13">
        <f>G102-C102</f>
        <v>2416.6999999999989</v>
      </c>
      <c r="I102" s="13">
        <f>((G102/C102)*100)-100</f>
        <v>69.260310090849146</v>
      </c>
      <c r="J102" s="13">
        <f>G102/E102*100</f>
        <v>69.482352941176458</v>
      </c>
      <c r="K102" s="13">
        <f>G102-E102</f>
        <v>-2594.0000000000009</v>
      </c>
    </row>
    <row r="103" spans="1:17" ht="24" customHeight="1" x14ac:dyDescent="0.2">
      <c r="A103" s="77" t="s">
        <v>187</v>
      </c>
      <c r="B103" s="78" t="s">
        <v>74</v>
      </c>
      <c r="C103" s="19">
        <v>25939.8</v>
      </c>
      <c r="D103" s="19">
        <v>72666.2</v>
      </c>
      <c r="E103" s="19">
        <v>72666.2</v>
      </c>
      <c r="F103" s="19">
        <v>36333</v>
      </c>
      <c r="G103" s="19">
        <v>36333</v>
      </c>
      <c r="H103" s="13">
        <f>G103-C103</f>
        <v>10393.200000000001</v>
      </c>
      <c r="I103" s="13">
        <f>((G103/C103)*100)-100</f>
        <v>40.066615779612789</v>
      </c>
      <c r="J103" s="13">
        <f>G103/E103*100</f>
        <v>49.999862384437336</v>
      </c>
      <c r="K103" s="13">
        <f>G103-E103</f>
        <v>-36333.199999999997</v>
      </c>
    </row>
    <row r="104" spans="1:17" ht="30" customHeight="1" x14ac:dyDescent="0.2">
      <c r="A104" s="92" t="s">
        <v>147</v>
      </c>
      <c r="B104" s="78" t="s">
        <v>29</v>
      </c>
      <c r="C104" s="65">
        <v>2383.8000000000002</v>
      </c>
      <c r="D104" s="19">
        <v>3656.3</v>
      </c>
      <c r="E104" s="19">
        <v>4426.3</v>
      </c>
      <c r="F104" s="19">
        <v>3461.1</v>
      </c>
      <c r="G104" s="65">
        <v>2293.1</v>
      </c>
      <c r="H104" s="13">
        <f>G104-C104</f>
        <v>-90.700000000000273</v>
      </c>
      <c r="I104" s="13">
        <f>((G104/C104)*100)-100</f>
        <v>-3.804849400117476</v>
      </c>
      <c r="J104" s="13">
        <f>G104/E104*100</f>
        <v>51.806249011589813</v>
      </c>
      <c r="K104" s="13">
        <f>G104-E104</f>
        <v>-2133.2000000000003</v>
      </c>
      <c r="N104" s="163">
        <v>9770</v>
      </c>
      <c r="O104" s="164">
        <f>E104+E249+E339</f>
        <v>23870.799999999999</v>
      </c>
      <c r="P104" s="164">
        <f>F104+F249+F339</f>
        <v>22705.599999999999</v>
      </c>
      <c r="Q104" s="164">
        <f>G104+G249+G339</f>
        <v>10811.1</v>
      </c>
    </row>
    <row r="105" spans="1:17" ht="76.900000000000006" hidden="1" customHeight="1" x14ac:dyDescent="0.2">
      <c r="A105" s="92"/>
      <c r="B105" s="78"/>
      <c r="C105" s="65"/>
      <c r="D105" s="19"/>
      <c r="E105" s="19"/>
      <c r="F105" s="19"/>
      <c r="G105" s="65"/>
      <c r="H105" s="13"/>
      <c r="I105" s="13"/>
      <c r="J105" s="13"/>
      <c r="K105" s="13"/>
      <c r="O105" s="164"/>
      <c r="P105" s="164"/>
      <c r="Q105" s="164"/>
    </row>
    <row r="106" spans="1:17" ht="38.450000000000003" customHeight="1" x14ac:dyDescent="0.2">
      <c r="A106" s="92" t="s">
        <v>92</v>
      </c>
      <c r="B106" s="70" t="s">
        <v>189</v>
      </c>
      <c r="C106" s="19">
        <f>SUM(C108:C148)</f>
        <v>6030.5999999999995</v>
      </c>
      <c r="D106" s="19">
        <f>SUM(D108:D148)</f>
        <v>26514.7</v>
      </c>
      <c r="E106" s="19">
        <f>SUM(E108:E148)</f>
        <v>17637.899999999998</v>
      </c>
      <c r="F106" s="19">
        <f>SUM(F108:F148)</f>
        <v>12192.1</v>
      </c>
      <c r="G106" s="19">
        <f>SUM(G108:G148)</f>
        <v>7744.4</v>
      </c>
      <c r="H106" s="13">
        <f t="shared" si="0"/>
        <v>1713.8000000000002</v>
      </c>
      <c r="I106" s="13">
        <f>((G106/C106)*100)-100</f>
        <v>28.418399495904225</v>
      </c>
      <c r="J106" s="13">
        <f t="shared" si="1"/>
        <v>43.907721440761094</v>
      </c>
      <c r="K106" s="13">
        <f t="shared" si="2"/>
        <v>-9893.4999999999982</v>
      </c>
      <c r="M106" s="163">
        <v>27455.1</v>
      </c>
      <c r="N106" s="163">
        <v>2852.6</v>
      </c>
      <c r="O106" s="164">
        <f>E106+E212</f>
        <v>31447.195999999996</v>
      </c>
      <c r="P106" s="164">
        <f>F106+F212</f>
        <v>24801.396000000001</v>
      </c>
      <c r="Q106" s="164">
        <f>G106+G212</f>
        <v>16593.381000000001</v>
      </c>
    </row>
    <row r="107" spans="1:17" ht="22.5" customHeight="1" x14ac:dyDescent="0.2">
      <c r="A107" s="15"/>
      <c r="B107" s="25" t="s">
        <v>3</v>
      </c>
      <c r="C107" s="17"/>
      <c r="D107" s="17"/>
      <c r="E107" s="17"/>
      <c r="F107" s="17"/>
      <c r="G107" s="17"/>
      <c r="H107" s="13"/>
      <c r="I107" s="13"/>
      <c r="J107" s="13"/>
      <c r="K107" s="13"/>
      <c r="M107" s="164">
        <f>M106-E106</f>
        <v>9817.2000000000007</v>
      </c>
      <c r="N107" s="164">
        <f>N106-G106</f>
        <v>-4891.7999999999993</v>
      </c>
    </row>
    <row r="108" spans="1:17" ht="44.25" customHeight="1" x14ac:dyDescent="0.2">
      <c r="A108" s="11"/>
      <c r="B108" s="25" t="s">
        <v>113</v>
      </c>
      <c r="C108" s="21"/>
      <c r="D108" s="17">
        <v>2940</v>
      </c>
      <c r="E108" s="17">
        <v>926.1</v>
      </c>
      <c r="F108" s="17"/>
      <c r="G108" s="21"/>
      <c r="H108" s="13">
        <f t="shared" si="0"/>
        <v>0</v>
      </c>
      <c r="I108" s="13"/>
      <c r="J108" s="13">
        <f t="shared" si="1"/>
        <v>0</v>
      </c>
      <c r="K108" s="13">
        <f t="shared" si="2"/>
        <v>-926.1</v>
      </c>
    </row>
    <row r="109" spans="1:17" ht="102" customHeight="1" x14ac:dyDescent="0.2">
      <c r="A109" s="11"/>
      <c r="B109" s="22" t="s">
        <v>82</v>
      </c>
      <c r="C109" s="21">
        <v>550.29999999999995</v>
      </c>
      <c r="D109" s="17">
        <v>6500</v>
      </c>
      <c r="E109" s="17">
        <v>80</v>
      </c>
      <c r="F109" s="17">
        <v>80</v>
      </c>
      <c r="G109" s="21">
        <v>30</v>
      </c>
      <c r="H109" s="13">
        <f t="shared" si="0"/>
        <v>-520.29999999999995</v>
      </c>
      <c r="I109" s="13"/>
      <c r="J109" s="13">
        <f t="shared" si="1"/>
        <v>37.5</v>
      </c>
      <c r="K109" s="13">
        <f t="shared" si="2"/>
        <v>-50</v>
      </c>
    </row>
    <row r="110" spans="1:17" ht="48.75" customHeight="1" x14ac:dyDescent="0.2">
      <c r="A110" s="11"/>
      <c r="B110" s="23" t="s">
        <v>216</v>
      </c>
      <c r="C110" s="21">
        <v>402.9</v>
      </c>
      <c r="D110" s="17">
        <v>1000</v>
      </c>
      <c r="E110" s="17">
        <v>980</v>
      </c>
      <c r="F110" s="17">
        <v>742.2</v>
      </c>
      <c r="G110" s="21">
        <v>470.4</v>
      </c>
      <c r="H110" s="13">
        <f t="shared" si="0"/>
        <v>67.5</v>
      </c>
      <c r="I110" s="13">
        <f t="shared" ref="I110:I120" si="6">((G110/C110)*100)-100</f>
        <v>16.753536857781086</v>
      </c>
      <c r="J110" s="13">
        <f t="shared" si="1"/>
        <v>48</v>
      </c>
      <c r="K110" s="13">
        <f t="shared" si="2"/>
        <v>-509.6</v>
      </c>
    </row>
    <row r="111" spans="1:17" ht="59.45" hidden="1" customHeight="1" x14ac:dyDescent="0.2">
      <c r="A111" s="11"/>
      <c r="B111" s="25"/>
      <c r="C111" s="17"/>
      <c r="D111" s="17"/>
      <c r="E111" s="17"/>
      <c r="F111" s="17"/>
      <c r="G111" s="17"/>
      <c r="H111" s="13">
        <f t="shared" si="0"/>
        <v>0</v>
      </c>
      <c r="I111" s="13" t="e">
        <f t="shared" si="6"/>
        <v>#DIV/0!</v>
      </c>
      <c r="J111" s="13" t="e">
        <f t="shared" si="1"/>
        <v>#DIV/0!</v>
      </c>
      <c r="K111" s="13">
        <f t="shared" si="2"/>
        <v>0</v>
      </c>
    </row>
    <row r="112" spans="1:17" ht="55.5" hidden="1" customHeight="1" x14ac:dyDescent="0.2">
      <c r="A112" s="11"/>
      <c r="B112" s="25"/>
      <c r="C112" s="21"/>
      <c r="D112" s="17"/>
      <c r="E112" s="17"/>
      <c r="F112" s="17"/>
      <c r="G112" s="21"/>
      <c r="H112" s="13">
        <f t="shared" si="0"/>
        <v>0</v>
      </c>
      <c r="I112" s="13" t="e">
        <f t="shared" si="6"/>
        <v>#DIV/0!</v>
      </c>
      <c r="J112" s="13" t="e">
        <f t="shared" si="1"/>
        <v>#DIV/0!</v>
      </c>
      <c r="K112" s="13">
        <f t="shared" si="2"/>
        <v>0</v>
      </c>
    </row>
    <row r="113" spans="1:11" ht="60.75" hidden="1" customHeight="1" x14ac:dyDescent="0.2">
      <c r="A113" s="11"/>
      <c r="B113" s="25"/>
      <c r="C113" s="21"/>
      <c r="D113" s="17"/>
      <c r="E113" s="17"/>
      <c r="F113" s="17"/>
      <c r="G113" s="21"/>
      <c r="H113" s="13">
        <f>G113-C113</f>
        <v>0</v>
      </c>
      <c r="I113" s="13" t="e">
        <f t="shared" si="6"/>
        <v>#DIV/0!</v>
      </c>
      <c r="J113" s="13" t="e">
        <f>G113/E113*100</f>
        <v>#DIV/0!</v>
      </c>
      <c r="K113" s="13">
        <f>G113-E113</f>
        <v>0</v>
      </c>
    </row>
    <row r="114" spans="1:11" ht="58.5" hidden="1" customHeight="1" x14ac:dyDescent="0.2">
      <c r="A114" s="11"/>
      <c r="B114" s="25"/>
      <c r="C114" s="21"/>
      <c r="D114" s="17"/>
      <c r="E114" s="17"/>
      <c r="F114" s="17"/>
      <c r="G114" s="21"/>
      <c r="H114" s="13">
        <f>G114-C114</f>
        <v>0</v>
      </c>
      <c r="I114" s="13" t="e">
        <f t="shared" si="6"/>
        <v>#DIV/0!</v>
      </c>
      <c r="J114" s="13" t="e">
        <f>G114/E114*100</f>
        <v>#DIV/0!</v>
      </c>
      <c r="K114" s="13">
        <f>G114-E114</f>
        <v>0</v>
      </c>
    </row>
    <row r="115" spans="1:11" ht="18" hidden="1" customHeight="1" x14ac:dyDescent="0.2">
      <c r="A115" s="11"/>
      <c r="B115" s="26"/>
      <c r="C115" s="21"/>
      <c r="D115" s="17"/>
      <c r="E115" s="17"/>
      <c r="F115" s="17"/>
      <c r="G115" s="21"/>
      <c r="H115" s="13">
        <f t="shared" si="0"/>
        <v>0</v>
      </c>
      <c r="I115" s="13" t="e">
        <f t="shared" si="6"/>
        <v>#DIV/0!</v>
      </c>
      <c r="J115" s="13" t="e">
        <f t="shared" si="1"/>
        <v>#DIV/0!</v>
      </c>
      <c r="K115" s="13">
        <f t="shared" si="2"/>
        <v>0</v>
      </c>
    </row>
    <row r="116" spans="1:11" ht="77.25" hidden="1" customHeight="1" x14ac:dyDescent="0.2">
      <c r="A116" s="11"/>
      <c r="B116" s="27"/>
      <c r="C116" s="21"/>
      <c r="D116" s="17"/>
      <c r="E116" s="17"/>
      <c r="F116" s="17"/>
      <c r="G116" s="21"/>
      <c r="H116" s="13">
        <f t="shared" si="0"/>
        <v>0</v>
      </c>
      <c r="I116" s="13" t="e">
        <f t="shared" si="6"/>
        <v>#DIV/0!</v>
      </c>
      <c r="J116" s="13" t="e">
        <f t="shared" si="1"/>
        <v>#DIV/0!</v>
      </c>
      <c r="K116" s="13">
        <f t="shared" si="2"/>
        <v>0</v>
      </c>
    </row>
    <row r="117" spans="1:11" ht="51" hidden="1" customHeight="1" x14ac:dyDescent="0.2">
      <c r="A117" s="11"/>
      <c r="B117" s="28"/>
      <c r="C117" s="21"/>
      <c r="D117" s="17"/>
      <c r="E117" s="17"/>
      <c r="F117" s="17"/>
      <c r="G117" s="21"/>
      <c r="H117" s="13">
        <f t="shared" si="0"/>
        <v>0</v>
      </c>
      <c r="I117" s="13" t="e">
        <f t="shared" si="6"/>
        <v>#DIV/0!</v>
      </c>
      <c r="J117" s="13"/>
      <c r="K117" s="13">
        <f t="shared" si="2"/>
        <v>0</v>
      </c>
    </row>
    <row r="118" spans="1:11" ht="101.25" hidden="1" customHeight="1" x14ac:dyDescent="0.2">
      <c r="A118" s="11"/>
      <c r="B118" s="29"/>
      <c r="C118" s="17"/>
      <c r="D118" s="17"/>
      <c r="E118" s="17"/>
      <c r="F118" s="17"/>
      <c r="G118" s="17"/>
      <c r="H118" s="13">
        <f t="shared" si="0"/>
        <v>0</v>
      </c>
      <c r="I118" s="13" t="e">
        <f t="shared" si="6"/>
        <v>#DIV/0!</v>
      </c>
      <c r="J118" s="13" t="e">
        <f t="shared" si="1"/>
        <v>#DIV/0!</v>
      </c>
      <c r="K118" s="13">
        <f t="shared" si="2"/>
        <v>0</v>
      </c>
    </row>
    <row r="119" spans="1:11" ht="39.75" hidden="1" customHeight="1" x14ac:dyDescent="0.2">
      <c r="A119" s="11"/>
      <c r="B119" s="27"/>
      <c r="C119" s="21"/>
      <c r="D119" s="17"/>
      <c r="E119" s="17"/>
      <c r="F119" s="17"/>
      <c r="G119" s="21"/>
      <c r="H119" s="13">
        <f t="shared" si="0"/>
        <v>0</v>
      </c>
      <c r="I119" s="13" t="e">
        <f t="shared" si="6"/>
        <v>#DIV/0!</v>
      </c>
      <c r="J119" s="13"/>
      <c r="K119" s="13">
        <f t="shared" si="2"/>
        <v>0</v>
      </c>
    </row>
    <row r="120" spans="1:11" ht="43.5" hidden="1" customHeight="1" x14ac:dyDescent="0.2">
      <c r="A120" s="11"/>
      <c r="B120" s="25" t="s">
        <v>31</v>
      </c>
      <c r="C120" s="17"/>
      <c r="D120" s="17"/>
      <c r="E120" s="17"/>
      <c r="F120" s="17"/>
      <c r="G120" s="17"/>
      <c r="H120" s="13">
        <f t="shared" si="0"/>
        <v>0</v>
      </c>
      <c r="I120" s="13" t="e">
        <f t="shared" si="6"/>
        <v>#DIV/0!</v>
      </c>
      <c r="J120" s="13" t="e">
        <f t="shared" si="1"/>
        <v>#DIV/0!</v>
      </c>
      <c r="K120" s="13">
        <f t="shared" si="2"/>
        <v>0</v>
      </c>
    </row>
    <row r="121" spans="1:11" ht="40.5" customHeight="1" x14ac:dyDescent="0.2">
      <c r="A121" s="11"/>
      <c r="B121" s="25" t="s">
        <v>32</v>
      </c>
      <c r="C121" s="21">
        <v>586.9</v>
      </c>
      <c r="D121" s="17">
        <v>1050</v>
      </c>
      <c r="E121" s="17">
        <f>750+300</f>
        <v>1050</v>
      </c>
      <c r="F121" s="17">
        <f>300+370</f>
        <v>670</v>
      </c>
      <c r="G121" s="21">
        <f>207.7+117.8</f>
        <v>325.5</v>
      </c>
      <c r="H121" s="13">
        <f t="shared" si="0"/>
        <v>-261.39999999999998</v>
      </c>
      <c r="I121" s="13">
        <f>((G121/C121)*100)-100</f>
        <v>-44.539103765547793</v>
      </c>
      <c r="J121" s="13">
        <f t="shared" si="1"/>
        <v>31</v>
      </c>
      <c r="K121" s="13">
        <f t="shared" si="2"/>
        <v>-724.5</v>
      </c>
    </row>
    <row r="122" spans="1:11" ht="40.5" customHeight="1" x14ac:dyDescent="0.2">
      <c r="A122" s="11"/>
      <c r="B122" s="25" t="s">
        <v>31</v>
      </c>
      <c r="C122" s="21">
        <v>245.3</v>
      </c>
      <c r="D122" s="17">
        <f>10+550</f>
        <v>560</v>
      </c>
      <c r="E122" s="17">
        <f>10+2164.8</f>
        <v>2174.8000000000002</v>
      </c>
      <c r="F122" s="17">
        <f>1854.8+10</f>
        <v>1864.8</v>
      </c>
      <c r="G122" s="21">
        <v>1615.5</v>
      </c>
      <c r="H122" s="13">
        <f t="shared" si="0"/>
        <v>1370.2</v>
      </c>
      <c r="I122" s="13">
        <f>((G122/C122)*100)-100</f>
        <v>558.58132898491647</v>
      </c>
      <c r="J122" s="13">
        <f t="shared" si="1"/>
        <v>74.282692661394151</v>
      </c>
      <c r="K122" s="13">
        <f t="shared" si="2"/>
        <v>-559.30000000000018</v>
      </c>
    </row>
    <row r="123" spans="1:11" ht="61.9" customHeight="1" x14ac:dyDescent="0.2">
      <c r="A123" s="11"/>
      <c r="B123" s="85" t="s">
        <v>320</v>
      </c>
      <c r="C123" s="21">
        <v>48</v>
      </c>
      <c r="D123" s="17"/>
      <c r="E123" s="17"/>
      <c r="F123" s="17"/>
      <c r="G123" s="21"/>
      <c r="H123" s="13"/>
      <c r="I123" s="13"/>
      <c r="J123" s="13"/>
      <c r="K123" s="13"/>
    </row>
    <row r="124" spans="1:11" ht="100.15" customHeight="1" x14ac:dyDescent="0.2">
      <c r="A124" s="11"/>
      <c r="B124" s="85" t="s">
        <v>345</v>
      </c>
      <c r="C124" s="21"/>
      <c r="D124" s="17"/>
      <c r="E124" s="17">
        <f>7.4+54.9</f>
        <v>62.3</v>
      </c>
      <c r="F124" s="17">
        <v>62.3</v>
      </c>
      <c r="G124" s="21">
        <v>7.3</v>
      </c>
      <c r="H124" s="13"/>
      <c r="I124" s="13"/>
      <c r="J124" s="13"/>
      <c r="K124" s="13"/>
    </row>
    <row r="125" spans="1:11" ht="30" customHeight="1" x14ac:dyDescent="0.2">
      <c r="A125" s="11"/>
      <c r="B125" s="79" t="s">
        <v>204</v>
      </c>
      <c r="C125" s="21">
        <v>1130</v>
      </c>
      <c r="D125" s="17"/>
      <c r="E125" s="17"/>
      <c r="F125" s="17"/>
      <c r="G125" s="21"/>
      <c r="H125" s="13">
        <f t="shared" si="0"/>
        <v>-1130</v>
      </c>
      <c r="I125" s="13"/>
      <c r="J125" s="13"/>
      <c r="K125" s="13">
        <f t="shared" si="2"/>
        <v>0</v>
      </c>
    </row>
    <row r="126" spans="1:11" ht="57.75" hidden="1" customHeight="1" x14ac:dyDescent="0.2">
      <c r="A126" s="11"/>
      <c r="B126" s="25"/>
      <c r="C126" s="21"/>
      <c r="D126" s="17"/>
      <c r="E126" s="17"/>
      <c r="F126" s="17"/>
      <c r="G126" s="21"/>
      <c r="H126" s="13">
        <f t="shared" si="0"/>
        <v>0</v>
      </c>
      <c r="I126" s="13"/>
      <c r="J126" s="13" t="e">
        <f t="shared" ref="J126:J207" si="7">G126/E126*100</f>
        <v>#DIV/0!</v>
      </c>
      <c r="K126" s="13">
        <f t="shared" si="2"/>
        <v>0</v>
      </c>
    </row>
    <row r="127" spans="1:11" ht="23.25" hidden="1" customHeight="1" x14ac:dyDescent="0.2">
      <c r="A127" s="11"/>
      <c r="B127" s="25"/>
      <c r="C127" s="21"/>
      <c r="D127" s="17"/>
      <c r="E127" s="17"/>
      <c r="F127" s="17"/>
      <c r="G127" s="21"/>
      <c r="H127" s="13">
        <f t="shared" ref="H127:H207" si="8">G127-C127</f>
        <v>0</v>
      </c>
      <c r="I127" s="13"/>
      <c r="J127" s="13" t="e">
        <f t="shared" si="7"/>
        <v>#DIV/0!</v>
      </c>
      <c r="K127" s="13">
        <f t="shared" ref="K127:K207" si="9">G127-E127</f>
        <v>0</v>
      </c>
    </row>
    <row r="128" spans="1:11" ht="24.75" hidden="1" customHeight="1" x14ac:dyDescent="0.2">
      <c r="A128" s="11"/>
      <c r="B128" s="25"/>
      <c r="C128" s="21"/>
      <c r="D128" s="17"/>
      <c r="E128" s="17"/>
      <c r="F128" s="17"/>
      <c r="G128" s="21"/>
      <c r="H128" s="13">
        <f t="shared" si="8"/>
        <v>0</v>
      </c>
      <c r="I128" s="13" t="e">
        <f>((G128/C128)*100)-100</f>
        <v>#DIV/0!</v>
      </c>
      <c r="J128" s="13" t="e">
        <f t="shared" si="7"/>
        <v>#DIV/0!</v>
      </c>
      <c r="K128" s="13">
        <f t="shared" si="9"/>
        <v>0</v>
      </c>
    </row>
    <row r="129" spans="1:14" ht="125.45" customHeight="1" x14ac:dyDescent="0.2">
      <c r="A129" s="11"/>
      <c r="B129" s="80" t="s">
        <v>221</v>
      </c>
      <c r="C129" s="21">
        <v>355.5</v>
      </c>
      <c r="D129" s="17">
        <v>1000</v>
      </c>
      <c r="E129" s="17">
        <v>823.1</v>
      </c>
      <c r="F129" s="17">
        <v>784.6</v>
      </c>
      <c r="G129" s="21">
        <v>692.8</v>
      </c>
      <c r="H129" s="13">
        <f t="shared" si="8"/>
        <v>337.29999999999995</v>
      </c>
      <c r="I129" s="13">
        <f>((G129/C129)*100)-100</f>
        <v>94.880450070323491</v>
      </c>
      <c r="J129" s="13">
        <f t="shared" si="7"/>
        <v>84.169602721419011</v>
      </c>
      <c r="K129" s="13">
        <f t="shared" si="9"/>
        <v>-130.30000000000007</v>
      </c>
    </row>
    <row r="130" spans="1:14" ht="57.6" customHeight="1" x14ac:dyDescent="0.2">
      <c r="A130" s="11"/>
      <c r="B130" s="81" t="s">
        <v>222</v>
      </c>
      <c r="C130" s="21">
        <v>365.9</v>
      </c>
      <c r="D130" s="17">
        <v>2500</v>
      </c>
      <c r="E130" s="17">
        <f>2319+1539</f>
        <v>3858</v>
      </c>
      <c r="F130" s="17">
        <f>1256.2+1539</f>
        <v>2795.2</v>
      </c>
      <c r="G130" s="21">
        <v>1648.3</v>
      </c>
      <c r="H130" s="13">
        <f t="shared" si="8"/>
        <v>1282.4000000000001</v>
      </c>
      <c r="I130" s="13"/>
      <c r="J130" s="13">
        <f t="shared" si="7"/>
        <v>42.724209434940377</v>
      </c>
      <c r="K130" s="13">
        <f t="shared" si="9"/>
        <v>-2209.6999999999998</v>
      </c>
    </row>
    <row r="131" spans="1:14" ht="83.25" customHeight="1" x14ac:dyDescent="0.2">
      <c r="A131" s="11"/>
      <c r="B131" s="82" t="s">
        <v>85</v>
      </c>
      <c r="C131" s="21"/>
      <c r="D131" s="17">
        <v>4000</v>
      </c>
      <c r="E131" s="17">
        <v>29.5</v>
      </c>
      <c r="F131" s="17">
        <v>0</v>
      </c>
      <c r="G131" s="21"/>
      <c r="H131" s="13">
        <f t="shared" si="8"/>
        <v>0</v>
      </c>
      <c r="I131" s="13"/>
      <c r="J131" s="13">
        <f t="shared" si="7"/>
        <v>0</v>
      </c>
      <c r="K131" s="13">
        <f t="shared" si="9"/>
        <v>-29.5</v>
      </c>
    </row>
    <row r="132" spans="1:14" ht="45" customHeight="1" x14ac:dyDescent="0.2">
      <c r="A132" s="11"/>
      <c r="B132" s="25" t="s">
        <v>69</v>
      </c>
      <c r="C132" s="21">
        <v>80.2</v>
      </c>
      <c r="D132" s="17">
        <v>350</v>
      </c>
      <c r="E132" s="17">
        <v>350</v>
      </c>
      <c r="F132" s="17">
        <v>176.4</v>
      </c>
      <c r="G132" s="21">
        <v>83.9</v>
      </c>
      <c r="H132" s="13">
        <f t="shared" si="8"/>
        <v>3.7000000000000028</v>
      </c>
      <c r="I132" s="13">
        <f>((G132/C132)*100)-100</f>
        <v>4.6134663341645989</v>
      </c>
      <c r="J132" s="13">
        <f t="shared" si="7"/>
        <v>23.971428571428575</v>
      </c>
      <c r="K132" s="13">
        <f t="shared" si="9"/>
        <v>-266.10000000000002</v>
      </c>
    </row>
    <row r="133" spans="1:14" ht="52.9" customHeight="1" x14ac:dyDescent="0.2">
      <c r="A133" s="11"/>
      <c r="B133" s="87" t="s">
        <v>223</v>
      </c>
      <c r="C133" s="21"/>
      <c r="D133" s="17">
        <v>200</v>
      </c>
      <c r="E133" s="17">
        <v>200</v>
      </c>
      <c r="F133" s="17">
        <v>200</v>
      </c>
      <c r="G133" s="21"/>
      <c r="H133" s="13">
        <f t="shared" si="8"/>
        <v>0</v>
      </c>
      <c r="I133" s="13"/>
      <c r="J133" s="13">
        <f t="shared" si="7"/>
        <v>0</v>
      </c>
      <c r="K133" s="13">
        <f t="shared" si="9"/>
        <v>-200</v>
      </c>
    </row>
    <row r="134" spans="1:14" ht="58.5" customHeight="1" x14ac:dyDescent="0.2">
      <c r="A134" s="11"/>
      <c r="B134" s="82" t="s">
        <v>220</v>
      </c>
      <c r="C134" s="17">
        <v>0</v>
      </c>
      <c r="D134" s="17">
        <v>500</v>
      </c>
      <c r="E134" s="17">
        <v>500</v>
      </c>
      <c r="F134" s="17">
        <v>250</v>
      </c>
      <c r="G134" s="17"/>
      <c r="H134" s="13">
        <f t="shared" si="8"/>
        <v>0</v>
      </c>
      <c r="I134" s="13"/>
      <c r="J134" s="13">
        <f>G134/E134*100</f>
        <v>0</v>
      </c>
      <c r="K134" s="13">
        <f t="shared" si="9"/>
        <v>-500</v>
      </c>
    </row>
    <row r="135" spans="1:14" ht="56.25" customHeight="1" x14ac:dyDescent="0.2">
      <c r="A135" s="11"/>
      <c r="B135" s="12" t="s">
        <v>205</v>
      </c>
      <c r="C135" s="21">
        <v>622.1</v>
      </c>
      <c r="D135" s="17">
        <v>1330</v>
      </c>
      <c r="E135" s="17">
        <v>1330</v>
      </c>
      <c r="F135" s="17">
        <v>787.2</v>
      </c>
      <c r="G135" s="21">
        <v>703.7</v>
      </c>
      <c r="H135" s="13">
        <f t="shared" si="8"/>
        <v>81.600000000000023</v>
      </c>
      <c r="I135" s="13"/>
      <c r="J135" s="13">
        <f t="shared" si="7"/>
        <v>52.909774436090231</v>
      </c>
      <c r="K135" s="13">
        <f t="shared" si="9"/>
        <v>-626.29999999999995</v>
      </c>
    </row>
    <row r="136" spans="1:14" ht="63.75" customHeight="1" x14ac:dyDescent="0.2">
      <c r="A136" s="11"/>
      <c r="B136" s="79" t="s">
        <v>206</v>
      </c>
      <c r="C136" s="21">
        <v>1474.2</v>
      </c>
      <c r="D136" s="17">
        <v>3084</v>
      </c>
      <c r="E136" s="17">
        <v>3314</v>
      </c>
      <c r="F136" s="17">
        <v>2120.6</v>
      </c>
      <c r="G136" s="21">
        <v>1726.6</v>
      </c>
      <c r="H136" s="13">
        <f t="shared" si="8"/>
        <v>252.39999999999986</v>
      </c>
      <c r="I136" s="13">
        <f>((G136/C136)*100)-100</f>
        <v>17.121150454483768</v>
      </c>
      <c r="J136" s="13">
        <f t="shared" si="7"/>
        <v>52.100181050090519</v>
      </c>
      <c r="K136" s="13">
        <f t="shared" si="9"/>
        <v>-1587.4</v>
      </c>
    </row>
    <row r="137" spans="1:14" ht="24.75" customHeight="1" x14ac:dyDescent="0.2">
      <c r="A137" s="11"/>
      <c r="B137" s="25" t="s">
        <v>30</v>
      </c>
      <c r="C137" s="21">
        <v>169.3</v>
      </c>
      <c r="D137" s="17">
        <f>500.7+1000</f>
        <v>1500.7</v>
      </c>
      <c r="E137" s="17">
        <f>11+49.9+10+15+10+10+25+49+49.8+15+29.9+20+66+12.5+120+38+429+1000</f>
        <v>1960.1</v>
      </c>
      <c r="F137" s="17">
        <f>5+49.9+10+10.5+10+10+5+49+40+9+29.9+20+12.5+61+429+120+38+750</f>
        <v>1658.8</v>
      </c>
      <c r="G137" s="21">
        <f>0.2+2.3+5.6+14.5+12+376.5+38-8.4-0.3</f>
        <v>440.40000000000003</v>
      </c>
      <c r="H137" s="13">
        <f>G137-C137</f>
        <v>271.10000000000002</v>
      </c>
      <c r="I137" s="13">
        <f>((G137/C137)*100)-100</f>
        <v>160.12994683992912</v>
      </c>
      <c r="J137" s="13">
        <f>G137/E137*100</f>
        <v>22.468241416254276</v>
      </c>
      <c r="K137" s="13">
        <f>G137-E137</f>
        <v>-1519.6999999999998</v>
      </c>
      <c r="L137" s="163">
        <f>11+49.9+10+15+10+10+25+49+49.8+15+17+239</f>
        <v>500.7</v>
      </c>
      <c r="M137" s="163">
        <f>11+49.9+10+15+10+10+25+49+49.8+15+29.9+20+12.5+66+429+120+38+1000</f>
        <v>1960.1</v>
      </c>
      <c r="N137" s="163">
        <f>750+49.9+5+10+10.5+10+10+5+49+40+29.9+20+12.5+61+429+120+38</f>
        <v>1649.8</v>
      </c>
    </row>
    <row r="138" spans="1:14" ht="83.25" hidden="1" customHeight="1" x14ac:dyDescent="0.2">
      <c r="A138" s="11"/>
      <c r="B138" s="30"/>
      <c r="C138" s="21"/>
      <c r="D138" s="17"/>
      <c r="E138" s="17"/>
      <c r="F138" s="17"/>
      <c r="G138" s="21"/>
      <c r="H138" s="13">
        <f t="shared" si="8"/>
        <v>0</v>
      </c>
      <c r="I138" s="13"/>
      <c r="J138" s="13" t="e">
        <f t="shared" si="7"/>
        <v>#DIV/0!</v>
      </c>
      <c r="K138" s="13">
        <f t="shared" si="9"/>
        <v>0</v>
      </c>
    </row>
    <row r="139" spans="1:14" ht="99.75" hidden="1" customHeight="1" x14ac:dyDescent="0.2">
      <c r="A139" s="11"/>
      <c r="B139" s="30"/>
      <c r="C139" s="21"/>
      <c r="D139" s="17"/>
      <c r="E139" s="17"/>
      <c r="F139" s="17"/>
      <c r="G139" s="21"/>
      <c r="H139" s="13">
        <f t="shared" si="8"/>
        <v>0</v>
      </c>
      <c r="I139" s="13"/>
      <c r="J139" s="13" t="e">
        <f t="shared" si="7"/>
        <v>#DIV/0!</v>
      </c>
      <c r="K139" s="13">
        <f t="shared" si="9"/>
        <v>0</v>
      </c>
    </row>
    <row r="140" spans="1:14" ht="86.25" hidden="1" customHeight="1" x14ac:dyDescent="0.2">
      <c r="A140" s="11"/>
      <c r="B140" s="30"/>
      <c r="C140" s="21"/>
      <c r="D140" s="17"/>
      <c r="E140" s="17"/>
      <c r="F140" s="17"/>
      <c r="G140" s="21"/>
      <c r="H140" s="13">
        <f t="shared" si="8"/>
        <v>0</v>
      </c>
      <c r="I140" s="13"/>
      <c r="J140" s="13" t="e">
        <f t="shared" si="7"/>
        <v>#DIV/0!</v>
      </c>
      <c r="K140" s="13">
        <f t="shared" si="9"/>
        <v>0</v>
      </c>
    </row>
    <row r="141" spans="1:14" ht="76.5" hidden="1" customHeight="1" x14ac:dyDescent="0.2">
      <c r="A141" s="11"/>
      <c r="B141" s="30"/>
      <c r="C141" s="21"/>
      <c r="D141" s="17"/>
      <c r="E141" s="17"/>
      <c r="F141" s="17"/>
      <c r="G141" s="21"/>
      <c r="H141" s="13">
        <f t="shared" si="8"/>
        <v>0</v>
      </c>
      <c r="I141" s="13"/>
      <c r="J141" s="13" t="e">
        <f t="shared" si="7"/>
        <v>#DIV/0!</v>
      </c>
      <c r="K141" s="13">
        <f t="shared" si="9"/>
        <v>0</v>
      </c>
    </row>
    <row r="142" spans="1:14" ht="71.25" hidden="1" customHeight="1" x14ac:dyDescent="0.2">
      <c r="A142" s="11"/>
      <c r="B142" s="30"/>
      <c r="C142" s="21"/>
      <c r="D142" s="17"/>
      <c r="E142" s="17"/>
      <c r="F142" s="17"/>
      <c r="G142" s="21"/>
      <c r="H142" s="13">
        <f t="shared" si="8"/>
        <v>0</v>
      </c>
      <c r="I142" s="13"/>
      <c r="J142" s="13" t="e">
        <f t="shared" si="7"/>
        <v>#DIV/0!</v>
      </c>
      <c r="K142" s="13">
        <f t="shared" si="9"/>
        <v>0</v>
      </c>
    </row>
    <row r="143" spans="1:14" ht="36.75" hidden="1" customHeight="1" x14ac:dyDescent="0.2">
      <c r="A143" s="11"/>
      <c r="B143" s="30"/>
      <c r="C143" s="21"/>
      <c r="D143" s="17"/>
      <c r="E143" s="17"/>
      <c r="F143" s="17"/>
      <c r="G143" s="21"/>
      <c r="H143" s="13">
        <f t="shared" si="8"/>
        <v>0</v>
      </c>
      <c r="I143" s="13"/>
      <c r="J143" s="13" t="e">
        <f t="shared" si="7"/>
        <v>#DIV/0!</v>
      </c>
      <c r="K143" s="13">
        <f t="shared" si="9"/>
        <v>0</v>
      </c>
    </row>
    <row r="144" spans="1:14" ht="79.5" hidden="1" customHeight="1" x14ac:dyDescent="0.2">
      <c r="A144" s="11"/>
      <c r="B144" s="31"/>
      <c r="C144" s="21"/>
      <c r="D144" s="17"/>
      <c r="E144" s="17"/>
      <c r="F144" s="17"/>
      <c r="G144" s="21"/>
      <c r="H144" s="13">
        <f t="shared" si="8"/>
        <v>0</v>
      </c>
      <c r="I144" s="13"/>
      <c r="J144" s="13" t="e">
        <f t="shared" si="7"/>
        <v>#DIV/0!</v>
      </c>
      <c r="K144" s="13">
        <f t="shared" si="9"/>
        <v>0</v>
      </c>
    </row>
    <row r="145" spans="1:15" ht="43.5" hidden="1" customHeight="1" x14ac:dyDescent="0.2">
      <c r="A145" s="11"/>
      <c r="B145" s="32"/>
      <c r="C145" s="21"/>
      <c r="D145" s="17"/>
      <c r="E145" s="17"/>
      <c r="F145" s="17"/>
      <c r="G145" s="21"/>
      <c r="H145" s="13">
        <f t="shared" si="8"/>
        <v>0</v>
      </c>
      <c r="I145" s="13"/>
      <c r="J145" s="13" t="e">
        <f t="shared" si="7"/>
        <v>#DIV/0!</v>
      </c>
      <c r="K145" s="13">
        <f t="shared" si="9"/>
        <v>0</v>
      </c>
    </row>
    <row r="146" spans="1:15" ht="101.25" hidden="1" customHeight="1" x14ac:dyDescent="0.2">
      <c r="A146" s="11"/>
      <c r="B146" s="32"/>
      <c r="C146" s="21"/>
      <c r="D146" s="17"/>
      <c r="E146" s="17"/>
      <c r="F146" s="17"/>
      <c r="G146" s="21"/>
      <c r="H146" s="13">
        <f t="shared" si="8"/>
        <v>0</v>
      </c>
      <c r="I146" s="13"/>
      <c r="J146" s="13" t="e">
        <f t="shared" si="7"/>
        <v>#DIV/0!</v>
      </c>
      <c r="K146" s="13">
        <f t="shared" si="9"/>
        <v>0</v>
      </c>
    </row>
    <row r="147" spans="1:15" ht="105.75" hidden="1" customHeight="1" x14ac:dyDescent="0.2">
      <c r="A147" s="33"/>
      <c r="B147" s="34"/>
      <c r="C147" s="17"/>
      <c r="D147" s="17"/>
      <c r="E147" s="17"/>
      <c r="F147" s="17"/>
      <c r="G147" s="17"/>
      <c r="H147" s="13">
        <f t="shared" si="8"/>
        <v>0</v>
      </c>
      <c r="I147" s="13"/>
      <c r="J147" s="13" t="e">
        <f t="shared" si="7"/>
        <v>#DIV/0!</v>
      </c>
      <c r="K147" s="13">
        <f t="shared" si="9"/>
        <v>0</v>
      </c>
    </row>
    <row r="148" spans="1:15" ht="75.75" hidden="1" customHeight="1" x14ac:dyDescent="0.2">
      <c r="A148" s="33"/>
      <c r="B148" s="34"/>
      <c r="C148" s="17"/>
      <c r="D148" s="17"/>
      <c r="E148" s="17"/>
      <c r="F148" s="17"/>
      <c r="G148" s="17"/>
      <c r="H148" s="13">
        <f t="shared" si="8"/>
        <v>0</v>
      </c>
      <c r="I148" s="13"/>
      <c r="J148" s="13" t="e">
        <f t="shared" si="7"/>
        <v>#DIV/0!</v>
      </c>
      <c r="K148" s="13">
        <f t="shared" si="9"/>
        <v>0</v>
      </c>
    </row>
    <row r="149" spans="1:15" ht="27.75" customHeight="1" x14ac:dyDescent="0.2">
      <c r="A149" s="92"/>
      <c r="B149" s="83" t="s">
        <v>33</v>
      </c>
      <c r="C149" s="19">
        <f>C151+C152</f>
        <v>20</v>
      </c>
      <c r="D149" s="19">
        <f>D151+D152</f>
        <v>75</v>
      </c>
      <c r="E149" s="19">
        <f>E151+E152</f>
        <v>75</v>
      </c>
      <c r="F149" s="19">
        <f>F151+F152</f>
        <v>75</v>
      </c>
      <c r="G149" s="19">
        <f>G151+G152</f>
        <v>0</v>
      </c>
      <c r="H149" s="13">
        <f t="shared" si="8"/>
        <v>-20</v>
      </c>
      <c r="I149" s="13"/>
      <c r="J149" s="13">
        <f t="shared" si="7"/>
        <v>0</v>
      </c>
      <c r="K149" s="13">
        <f t="shared" si="9"/>
        <v>-75</v>
      </c>
    </row>
    <row r="150" spans="1:15" x14ac:dyDescent="0.2">
      <c r="A150" s="15"/>
      <c r="B150" s="84" t="s">
        <v>3</v>
      </c>
      <c r="C150" s="21"/>
      <c r="D150" s="17"/>
      <c r="E150" s="17"/>
      <c r="F150" s="17"/>
      <c r="G150" s="21"/>
      <c r="H150" s="13">
        <f t="shared" si="8"/>
        <v>0</v>
      </c>
      <c r="I150" s="13"/>
      <c r="J150" s="13"/>
      <c r="K150" s="13">
        <f t="shared" si="9"/>
        <v>0</v>
      </c>
    </row>
    <row r="151" spans="1:15" ht="100.5" customHeight="1" x14ac:dyDescent="0.2">
      <c r="A151" s="8" t="s">
        <v>207</v>
      </c>
      <c r="B151" s="85" t="s">
        <v>34</v>
      </c>
      <c r="C151" s="21"/>
      <c r="D151" s="17">
        <v>50</v>
      </c>
      <c r="E151" s="17">
        <v>50</v>
      </c>
      <c r="F151" s="17">
        <v>50</v>
      </c>
      <c r="G151" s="21"/>
      <c r="H151" s="13">
        <f t="shared" si="8"/>
        <v>0</v>
      </c>
      <c r="I151" s="13"/>
      <c r="J151" s="13">
        <f>G151/E151*100</f>
        <v>0</v>
      </c>
      <c r="K151" s="13">
        <f>G151-E151</f>
        <v>-50</v>
      </c>
    </row>
    <row r="152" spans="1:15" ht="60" customHeight="1" x14ac:dyDescent="0.2">
      <c r="A152" s="8" t="s">
        <v>208</v>
      </c>
      <c r="B152" s="85" t="s">
        <v>35</v>
      </c>
      <c r="C152" s="13">
        <v>20</v>
      </c>
      <c r="D152" s="17">
        <v>25</v>
      </c>
      <c r="E152" s="17">
        <v>25</v>
      </c>
      <c r="F152" s="17">
        <v>25</v>
      </c>
      <c r="G152" s="13"/>
      <c r="H152" s="13">
        <f t="shared" si="8"/>
        <v>-20</v>
      </c>
      <c r="I152" s="13"/>
      <c r="J152" s="13"/>
      <c r="K152" s="13">
        <f t="shared" si="9"/>
        <v>-25</v>
      </c>
    </row>
    <row r="153" spans="1:15" ht="60.75" customHeight="1" x14ac:dyDescent="0.2">
      <c r="A153" s="181" t="s">
        <v>66</v>
      </c>
      <c r="B153" s="182"/>
      <c r="C153" s="9">
        <f>C12+C16+C26+C33+C40+C47+C55+C59+C67+C86+C87+C88+C103+C93+C104+C96+C99+C106+C149+C65+C66+C95</f>
        <v>469488.99999999988</v>
      </c>
      <c r="D153" s="9">
        <f>D12+D16+D26+D33+D40+D47+D55+D59+D67+D86+D87+D88+D103+D93+D104+D96+D99+D106+D149+D65+D66+D95+D105+D94</f>
        <v>1201748.2</v>
      </c>
      <c r="E153" s="9">
        <f>E12+E16+E26+E33+E40+E47+E55+E59+E67+E86+E87+E88+E103+E93+E104+E96+E99+E106+E149+E65+E66+E95+E105+E94</f>
        <v>1227264.8</v>
      </c>
      <c r="F153" s="9">
        <f>F12+F16+F26+F33+F40+F47+F55+F59+F67+F86+F87+F88+F103+F93+F104+F96+F99+F106+F149+F65+F66+F95+F105+F94</f>
        <v>848705.5</v>
      </c>
      <c r="G153" s="9">
        <f>G12+G16+G26+G33+G40+G47+G55+G59+G67+G86+G87+G88+G103+G93+G104+G96+G99+G106+G149+G65+G66+G95+G105+G94</f>
        <v>618502.40000000002</v>
      </c>
      <c r="H153" s="13">
        <f t="shared" si="8"/>
        <v>149013.40000000014</v>
      </c>
      <c r="I153" s="13">
        <f>((G153/C153)*100)-100</f>
        <v>31.739486974135758</v>
      </c>
      <c r="J153" s="13">
        <f t="shared" si="7"/>
        <v>50.396817377961135</v>
      </c>
      <c r="K153" s="13">
        <f t="shared" si="9"/>
        <v>-608762.4</v>
      </c>
      <c r="L153" s="164">
        <f>E149+E106+E104+E103+E99+E96+E95+E93+E88+E87+E86+E67+E66+E65+E59+E58+E57+E56+E47+E40+E33+E26+E16+E12</f>
        <v>1227222.3</v>
      </c>
    </row>
    <row r="154" spans="1:15" ht="60.75" hidden="1" customHeight="1" x14ac:dyDescent="0.2">
      <c r="A154" s="90"/>
      <c r="B154" s="91"/>
      <c r="C154" s="9"/>
      <c r="D154" s="9"/>
      <c r="E154" s="9"/>
      <c r="F154" s="9">
        <v>312411.40000000002</v>
      </c>
      <c r="G154" s="9"/>
      <c r="H154" s="13"/>
      <c r="I154" s="13"/>
      <c r="J154" s="13"/>
      <c r="K154" s="13"/>
    </row>
    <row r="155" spans="1:15" ht="60.75" hidden="1" customHeight="1" x14ac:dyDescent="0.2">
      <c r="A155" s="90"/>
      <c r="B155" s="91"/>
      <c r="C155" s="9"/>
      <c r="D155" s="9"/>
      <c r="E155" s="9"/>
      <c r="F155" s="9">
        <f>F154-F158</f>
        <v>-257506.30000000005</v>
      </c>
      <c r="G155" s="9"/>
      <c r="H155" s="13"/>
      <c r="I155" s="13"/>
      <c r="J155" s="13"/>
      <c r="K155" s="13"/>
    </row>
    <row r="156" spans="1:15" ht="60.75" hidden="1" customHeight="1" x14ac:dyDescent="0.2">
      <c r="A156" s="90"/>
      <c r="B156" s="91"/>
      <c r="C156" s="9"/>
      <c r="D156" s="9"/>
      <c r="E156" s="9">
        <f>1227414.8-150</f>
        <v>1227264.8</v>
      </c>
      <c r="F156" s="9">
        <f>848855.5-150</f>
        <v>848705.5</v>
      </c>
      <c r="G156" s="9"/>
      <c r="H156" s="13"/>
      <c r="I156" s="13"/>
      <c r="J156" s="13"/>
      <c r="K156" s="13"/>
      <c r="M156" s="163">
        <v>1202875.5</v>
      </c>
    </row>
    <row r="157" spans="1:15" ht="60.75" hidden="1" customHeight="1" x14ac:dyDescent="0.2">
      <c r="A157" s="90"/>
      <c r="B157" s="91"/>
      <c r="C157" s="9"/>
      <c r="D157" s="9"/>
      <c r="E157" s="104">
        <f>E156-E153</f>
        <v>0</v>
      </c>
      <c r="F157" s="104">
        <f>F156-F153</f>
        <v>0</v>
      </c>
      <c r="G157" s="9"/>
      <c r="H157" s="13"/>
      <c r="I157" s="13"/>
      <c r="J157" s="13"/>
      <c r="K157" s="13"/>
    </row>
    <row r="158" spans="1:15" ht="49.5" customHeight="1" x14ac:dyDescent="0.2">
      <c r="A158" s="11"/>
      <c r="B158" s="86" t="s">
        <v>78</v>
      </c>
      <c r="C158" s="94">
        <f>C160+C161++C165+C166+C167+C168+C169+C170+C171+C163+C172+C162+C164</f>
        <v>752381.80000000016</v>
      </c>
      <c r="D158" s="94">
        <f>D160+D161++D165+D166+D167+D168+D169+D170+D171+D163+D172+D162+D164+D173</f>
        <v>1091624</v>
      </c>
      <c r="E158" s="94">
        <f>E160+E161++E165+E166+E167+E168+E169+E170+E171+E163+E172+E162+E164+E173</f>
        <v>934958.99999999988</v>
      </c>
      <c r="F158" s="94">
        <f>F160+F161++F165+F166+F167+F168+F169+F170+F171+F163+F172+F162+F164+F173</f>
        <v>569917.70000000007</v>
      </c>
      <c r="G158" s="94">
        <f>G160+G161++G165+G166+G167+G168+G169+G170+G171+G163+G172+G162+G164+G173</f>
        <v>544113.30000000005</v>
      </c>
      <c r="H158" s="13">
        <f t="shared" si="8"/>
        <v>-208268.50000000012</v>
      </c>
      <c r="I158" s="13">
        <f>((G158/C158)*100)-100</f>
        <v>-27.681225143936246</v>
      </c>
      <c r="J158" s="13">
        <f t="shared" si="7"/>
        <v>58.196487760425875</v>
      </c>
      <c r="K158" s="13">
        <f t="shared" si="9"/>
        <v>-390845.69999999984</v>
      </c>
    </row>
    <row r="159" spans="1:15" x14ac:dyDescent="0.2">
      <c r="A159" s="15"/>
      <c r="B159" s="84" t="s">
        <v>24</v>
      </c>
      <c r="C159" s="35"/>
      <c r="D159" s="35"/>
      <c r="E159" s="35"/>
      <c r="F159" s="35"/>
      <c r="G159" s="35"/>
      <c r="H159" s="13"/>
      <c r="I159" s="13"/>
      <c r="J159" s="13"/>
      <c r="K159" s="13"/>
    </row>
    <row r="160" spans="1:15" ht="37.5" x14ac:dyDescent="0.2">
      <c r="A160" s="36" t="s">
        <v>116</v>
      </c>
      <c r="B160" s="37" t="s">
        <v>38</v>
      </c>
      <c r="C160" s="35">
        <v>628.1</v>
      </c>
      <c r="D160" s="35">
        <v>1870.7</v>
      </c>
      <c r="E160" s="35">
        <v>1870.7</v>
      </c>
      <c r="F160" s="35">
        <v>875.3</v>
      </c>
      <c r="G160" s="35">
        <v>702.2</v>
      </c>
      <c r="H160" s="13">
        <f t="shared" si="8"/>
        <v>74.100000000000023</v>
      </c>
      <c r="I160" s="13">
        <f>((G160/C160)*100)-100</f>
        <v>11.797484476994114</v>
      </c>
      <c r="J160" s="13">
        <f t="shared" si="7"/>
        <v>37.53675094884268</v>
      </c>
      <c r="K160" s="13">
        <f t="shared" si="9"/>
        <v>-1168.5</v>
      </c>
      <c r="L160" s="164">
        <f>E160+E166+E167+E168</f>
        <v>424395.4</v>
      </c>
      <c r="M160" s="164"/>
      <c r="N160" s="164">
        <f>F160+F166+F167+F168</f>
        <v>273658.3</v>
      </c>
      <c r="O160" s="164">
        <f>G160+G166+G167+G168</f>
        <v>254931.20000000001</v>
      </c>
    </row>
    <row r="161" spans="1:31" ht="56.25" customHeight="1" x14ac:dyDescent="0.2">
      <c r="A161" s="8" t="s">
        <v>91</v>
      </c>
      <c r="B161" s="37" t="s">
        <v>77</v>
      </c>
      <c r="C161" s="35">
        <v>171143.7</v>
      </c>
      <c r="D161" s="35">
        <f>309756.3+1442.2</f>
        <v>311198.5</v>
      </c>
      <c r="E161" s="35">
        <f>309756.3+1442.2+4762</f>
        <v>315960.5</v>
      </c>
      <c r="F161" s="35">
        <v>196461.7</v>
      </c>
      <c r="G161" s="35">
        <v>192414.5</v>
      </c>
      <c r="H161" s="13">
        <f t="shared" si="8"/>
        <v>21270.799999999988</v>
      </c>
      <c r="I161" s="13">
        <f>((G161/C161)*100)-100</f>
        <v>12.4286199258284</v>
      </c>
      <c r="J161" s="13">
        <f t="shared" si="7"/>
        <v>60.898276841567224</v>
      </c>
      <c r="K161" s="13">
        <f>G161-E161</f>
        <v>-123546</v>
      </c>
    </row>
    <row r="162" spans="1:31" ht="79.900000000000006" customHeight="1" x14ac:dyDescent="0.2">
      <c r="A162" s="105" t="s">
        <v>104</v>
      </c>
      <c r="B162" s="106" t="s">
        <v>227</v>
      </c>
      <c r="C162" s="35">
        <v>30.4</v>
      </c>
      <c r="D162" s="35">
        <v>1397</v>
      </c>
      <c r="E162" s="35">
        <v>1381.5</v>
      </c>
      <c r="F162" s="35">
        <v>916.5</v>
      </c>
      <c r="G162" s="35">
        <v>348.3</v>
      </c>
      <c r="H162" s="13">
        <f t="shared" si="8"/>
        <v>317.90000000000003</v>
      </c>
      <c r="I162" s="13"/>
      <c r="J162" s="13">
        <f t="shared" si="7"/>
        <v>25.211726384364823</v>
      </c>
      <c r="K162" s="13">
        <f>G162-E162</f>
        <v>-1033.2</v>
      </c>
    </row>
    <row r="163" spans="1:31" ht="67.5" customHeight="1" x14ac:dyDescent="0.2">
      <c r="A163" s="107" t="s">
        <v>94</v>
      </c>
      <c r="B163" s="37" t="s">
        <v>76</v>
      </c>
      <c r="C163" s="35">
        <v>114628.8</v>
      </c>
      <c r="D163" s="35">
        <v>182962.1</v>
      </c>
      <c r="E163" s="35">
        <v>184959.6</v>
      </c>
      <c r="F163" s="35">
        <v>92356.800000000003</v>
      </c>
      <c r="G163" s="35">
        <v>90994.9</v>
      </c>
      <c r="H163" s="13">
        <f t="shared" si="8"/>
        <v>-23633.900000000009</v>
      </c>
      <c r="I163" s="13">
        <f>((G163/C163)*100)-100</f>
        <v>-20.617767960582327</v>
      </c>
      <c r="J163" s="13">
        <f t="shared" si="7"/>
        <v>49.197176031955081</v>
      </c>
      <c r="K163" s="13">
        <f t="shared" si="9"/>
        <v>-93964.700000000012</v>
      </c>
    </row>
    <row r="164" spans="1:31" ht="67.5" customHeight="1" x14ac:dyDescent="0.2">
      <c r="A164" s="108" t="s">
        <v>229</v>
      </c>
      <c r="B164" s="37" t="s">
        <v>228</v>
      </c>
      <c r="C164" s="35"/>
      <c r="D164" s="35">
        <v>5213.5</v>
      </c>
      <c r="E164" s="35">
        <v>5213.5</v>
      </c>
      <c r="F164" s="35">
        <v>3475.9</v>
      </c>
      <c r="G164" s="35">
        <v>3475.9</v>
      </c>
      <c r="H164" s="13">
        <f t="shared" si="8"/>
        <v>3475.9</v>
      </c>
      <c r="I164" s="13"/>
      <c r="J164" s="13">
        <f t="shared" si="7"/>
        <v>66.671142226910902</v>
      </c>
      <c r="K164" s="13">
        <f t="shared" si="9"/>
        <v>-1737.6</v>
      </c>
    </row>
    <row r="165" spans="1:31" ht="69.599999999999994" customHeight="1" x14ac:dyDescent="0.2">
      <c r="A165" s="36" t="s">
        <v>114</v>
      </c>
      <c r="B165" s="109" t="s">
        <v>115</v>
      </c>
      <c r="C165" s="35">
        <v>3075.1</v>
      </c>
      <c r="D165" s="35">
        <v>1948.5</v>
      </c>
      <c r="E165" s="35">
        <v>1948.5</v>
      </c>
      <c r="F165" s="35">
        <v>1948.5</v>
      </c>
      <c r="G165" s="35">
        <v>1948.5</v>
      </c>
      <c r="H165" s="13">
        <f t="shared" si="8"/>
        <v>-1126.5999999999999</v>
      </c>
      <c r="I165" s="13">
        <f>((G165/C165)*100)-100</f>
        <v>-36.636206952619418</v>
      </c>
      <c r="J165" s="13">
        <f t="shared" si="7"/>
        <v>100</v>
      </c>
      <c r="K165" s="13">
        <f t="shared" si="9"/>
        <v>0</v>
      </c>
    </row>
    <row r="166" spans="1:31" s="14" customFormat="1" ht="131.25" x14ac:dyDescent="0.2">
      <c r="A166" s="8" t="s">
        <v>117</v>
      </c>
      <c r="B166" s="38" t="s">
        <v>75</v>
      </c>
      <c r="C166" s="39">
        <v>138170.6</v>
      </c>
      <c r="D166" s="39">
        <v>316940</v>
      </c>
      <c r="E166" s="39">
        <v>294460</v>
      </c>
      <c r="F166" s="39">
        <v>144721.4</v>
      </c>
      <c r="G166" s="39">
        <v>142288.29999999999</v>
      </c>
      <c r="H166" s="13">
        <f t="shared" si="8"/>
        <v>4117.6999999999825</v>
      </c>
      <c r="I166" s="13">
        <f t="shared" ref="I166:I171" si="10">((G166/C166)*100)-100</f>
        <v>2.9801564153300291</v>
      </c>
      <c r="J166" s="13">
        <f t="shared" si="7"/>
        <v>48.321775453372275</v>
      </c>
      <c r="K166" s="13">
        <f t="shared" si="9"/>
        <v>-152171.70000000001</v>
      </c>
      <c r="L166" s="171">
        <f>F166+F167+F168+F160</f>
        <v>273658.3</v>
      </c>
      <c r="M166" s="168"/>
      <c r="N166" s="168"/>
      <c r="O166" s="168"/>
      <c r="P166" s="168"/>
      <c r="Q166" s="168"/>
      <c r="R166" s="168"/>
      <c r="S166" s="168"/>
      <c r="T166" s="168"/>
      <c r="U166" s="168"/>
      <c r="V166" s="168"/>
      <c r="W166" s="168"/>
      <c r="X166" s="168"/>
      <c r="Y166" s="168"/>
      <c r="Z166" s="168"/>
      <c r="AA166" s="168"/>
      <c r="AB166" s="168"/>
      <c r="AC166" s="168"/>
      <c r="AD166" s="168"/>
      <c r="AE166" s="168"/>
    </row>
    <row r="167" spans="1:31" s="14" customFormat="1" x14ac:dyDescent="0.2">
      <c r="A167" s="8" t="s">
        <v>119</v>
      </c>
      <c r="B167" s="38" t="s">
        <v>36</v>
      </c>
      <c r="C167" s="39">
        <v>26785.9</v>
      </c>
      <c r="D167" s="39">
        <v>47003</v>
      </c>
      <c r="E167" s="39">
        <v>47003</v>
      </c>
      <c r="F167" s="39">
        <v>47000</v>
      </c>
      <c r="G167" s="39">
        <v>37246.1</v>
      </c>
      <c r="H167" s="13">
        <f t="shared" si="8"/>
        <v>10460.199999999997</v>
      </c>
      <c r="I167" s="13">
        <f t="shared" si="10"/>
        <v>39.051142578744788</v>
      </c>
      <c r="J167" s="13">
        <f t="shared" si="7"/>
        <v>79.241963278939636</v>
      </c>
      <c r="K167" s="13">
        <f t="shared" si="9"/>
        <v>-9756.9000000000015</v>
      </c>
      <c r="L167" s="168"/>
      <c r="M167" s="168"/>
      <c r="N167" s="168"/>
      <c r="O167" s="168"/>
      <c r="P167" s="168"/>
      <c r="Q167" s="168"/>
      <c r="R167" s="168"/>
      <c r="S167" s="168"/>
      <c r="T167" s="168"/>
      <c r="U167" s="168"/>
      <c r="V167" s="168"/>
      <c r="W167" s="168"/>
      <c r="X167" s="168"/>
      <c r="Y167" s="168"/>
      <c r="Z167" s="168"/>
      <c r="AA167" s="168"/>
      <c r="AB167" s="168"/>
      <c r="AC167" s="168"/>
      <c r="AD167" s="168"/>
      <c r="AE167" s="168"/>
    </row>
    <row r="168" spans="1:31" s="14" customFormat="1" ht="28.5" customHeight="1" x14ac:dyDescent="0.2">
      <c r="A168" s="8" t="s">
        <v>118</v>
      </c>
      <c r="B168" s="38" t="s">
        <v>37</v>
      </c>
      <c r="C168" s="39">
        <v>297919.2</v>
      </c>
      <c r="D168" s="39">
        <v>223090.7</v>
      </c>
      <c r="E168" s="39">
        <f>81061.7</f>
        <v>81061.7</v>
      </c>
      <c r="F168" s="39">
        <v>81061.600000000006</v>
      </c>
      <c r="G168" s="39">
        <v>74694.600000000006</v>
      </c>
      <c r="H168" s="13">
        <f t="shared" si="8"/>
        <v>-223224.6</v>
      </c>
      <c r="I168" s="13">
        <f t="shared" si="10"/>
        <v>-74.927899913802136</v>
      </c>
      <c r="J168" s="13">
        <f t="shared" si="7"/>
        <v>92.145365813941737</v>
      </c>
      <c r="K168" s="13">
        <f t="shared" si="9"/>
        <v>-6367.0999999999913</v>
      </c>
      <c r="L168" s="168"/>
      <c r="M168" s="168"/>
      <c r="N168" s="168"/>
      <c r="O168" s="168"/>
      <c r="P168" s="168"/>
      <c r="Q168" s="168"/>
      <c r="R168" s="168"/>
      <c r="S168" s="168"/>
      <c r="T168" s="168"/>
      <c r="U168" s="168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</row>
    <row r="169" spans="1:31" s="14" customFormat="1" ht="86.25" hidden="1" customHeight="1" x14ac:dyDescent="0.2">
      <c r="A169" s="8"/>
      <c r="B169" s="38"/>
      <c r="C169" s="39"/>
      <c r="D169" s="39"/>
      <c r="E169" s="39"/>
      <c r="F169" s="39"/>
      <c r="G169" s="39"/>
      <c r="H169" s="13">
        <f t="shared" si="8"/>
        <v>0</v>
      </c>
      <c r="I169" s="13" t="e">
        <f t="shared" si="10"/>
        <v>#DIV/0!</v>
      </c>
      <c r="J169" s="13"/>
      <c r="K169" s="13">
        <f t="shared" si="9"/>
        <v>0</v>
      </c>
      <c r="L169" s="168"/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  <c r="W169" s="168"/>
      <c r="X169" s="168"/>
      <c r="Y169" s="168"/>
      <c r="Z169" s="168"/>
      <c r="AA169" s="168"/>
      <c r="AB169" s="168"/>
      <c r="AC169" s="168"/>
      <c r="AD169" s="168"/>
      <c r="AE169" s="168"/>
    </row>
    <row r="170" spans="1:31" ht="60.75" hidden="1" customHeight="1" x14ac:dyDescent="0.2">
      <c r="A170" s="8"/>
      <c r="B170" s="18"/>
      <c r="C170" s="35"/>
      <c r="D170" s="35"/>
      <c r="E170" s="35"/>
      <c r="F170" s="35"/>
      <c r="G170" s="35"/>
      <c r="H170" s="13">
        <f t="shared" si="8"/>
        <v>0</v>
      </c>
      <c r="I170" s="13" t="e">
        <f t="shared" si="10"/>
        <v>#DIV/0!</v>
      </c>
      <c r="J170" s="13"/>
      <c r="K170" s="13">
        <f t="shared" si="9"/>
        <v>0</v>
      </c>
    </row>
    <row r="171" spans="1:31" ht="93.75" hidden="1" customHeight="1" x14ac:dyDescent="0.2">
      <c r="A171" s="36"/>
      <c r="B171" s="40"/>
      <c r="C171" s="35"/>
      <c r="D171" s="35"/>
      <c r="E171" s="35"/>
      <c r="F171" s="35"/>
      <c r="G171" s="35"/>
      <c r="H171" s="13">
        <f t="shared" si="8"/>
        <v>0</v>
      </c>
      <c r="I171" s="13" t="e">
        <f t="shared" si="10"/>
        <v>#DIV/0!</v>
      </c>
      <c r="J171" s="13" t="e">
        <f t="shared" si="7"/>
        <v>#DIV/0!</v>
      </c>
      <c r="K171" s="13">
        <f t="shared" si="9"/>
        <v>0</v>
      </c>
    </row>
    <row r="172" spans="1:31" ht="108.75" hidden="1" customHeight="1" x14ac:dyDescent="0.2">
      <c r="A172" s="36" t="s">
        <v>209</v>
      </c>
      <c r="B172" s="40" t="s">
        <v>210</v>
      </c>
      <c r="C172" s="35"/>
      <c r="D172" s="35"/>
      <c r="E172" s="35"/>
      <c r="F172" s="35"/>
      <c r="G172" s="35"/>
      <c r="H172" s="13">
        <f t="shared" si="8"/>
        <v>0</v>
      </c>
      <c r="I172" s="13"/>
      <c r="J172" s="13" t="e">
        <f t="shared" si="7"/>
        <v>#DIV/0!</v>
      </c>
      <c r="K172" s="13">
        <f t="shared" si="9"/>
        <v>0</v>
      </c>
    </row>
    <row r="173" spans="1:31" ht="108.75" customHeight="1" x14ac:dyDescent="0.2">
      <c r="A173" s="36" t="s">
        <v>355</v>
      </c>
      <c r="B173" s="40" t="s">
        <v>356</v>
      </c>
      <c r="C173" s="35"/>
      <c r="D173" s="35"/>
      <c r="E173" s="35">
        <v>1100</v>
      </c>
      <c r="F173" s="35">
        <v>1100</v>
      </c>
      <c r="G173" s="35"/>
      <c r="H173" s="13"/>
      <c r="I173" s="13"/>
      <c r="J173" s="13"/>
      <c r="K173" s="13"/>
    </row>
    <row r="174" spans="1:31" ht="50.25" customHeight="1" x14ac:dyDescent="0.2">
      <c r="A174" s="15"/>
      <c r="B174" s="41" t="s">
        <v>40</v>
      </c>
      <c r="C174" s="19">
        <f>C176+C179+C180+C181+C183+C187+C189+C190+C191+C193+C194+C196+C197+C201+C202+C203+C204+C205+C198+C199+C200+C185+C206+C177+C188</f>
        <v>1197.7999999999997</v>
      </c>
      <c r="D174" s="19">
        <f>SUM(D176:D206)</f>
        <v>1106.0999999999999</v>
      </c>
      <c r="E174" s="19">
        <f>SUM(E176:E206)</f>
        <v>5358.7</v>
      </c>
      <c r="F174" s="19">
        <f>SUM(F176:F206)</f>
        <v>4284.7000000000007</v>
      </c>
      <c r="G174" s="19">
        <f>SUM(G176:G206)</f>
        <v>1168.2999999999997</v>
      </c>
      <c r="H174" s="1">
        <f>G174-C174</f>
        <v>-29.5</v>
      </c>
      <c r="I174" s="1">
        <f>((G174/C174)*100)-100</f>
        <v>-2.4628485556854258</v>
      </c>
      <c r="J174" s="1">
        <f>G174/E174*100</f>
        <v>21.801929572470929</v>
      </c>
      <c r="K174" s="1">
        <f>G174-E174</f>
        <v>-4190.3999999999996</v>
      </c>
    </row>
    <row r="175" spans="1:31" x14ac:dyDescent="0.2">
      <c r="A175" s="42"/>
      <c r="B175" s="18" t="s">
        <v>24</v>
      </c>
      <c r="C175" s="21"/>
      <c r="D175" s="17"/>
      <c r="E175" s="17"/>
      <c r="F175" s="17"/>
      <c r="G175" s="21"/>
      <c r="H175" s="13">
        <f>G175-C175</f>
        <v>0</v>
      </c>
      <c r="I175" s="1"/>
      <c r="J175" s="1"/>
      <c r="K175" s="13">
        <f>G175-E175</f>
        <v>0</v>
      </c>
    </row>
    <row r="176" spans="1:31" ht="37.5" x14ac:dyDescent="0.2">
      <c r="A176" s="110">
        <v>1010</v>
      </c>
      <c r="B176" s="18" t="s">
        <v>190</v>
      </c>
      <c r="C176" s="21">
        <v>294.3</v>
      </c>
      <c r="D176" s="17"/>
      <c r="E176" s="17">
        <v>165</v>
      </c>
      <c r="F176" s="17">
        <v>165</v>
      </c>
      <c r="G176" s="21"/>
      <c r="H176" s="13">
        <f t="shared" si="8"/>
        <v>-294.3</v>
      </c>
      <c r="I176" s="111">
        <f t="shared" ref="I176:I185" si="11">((G176/C176)*100)-100</f>
        <v>-100</v>
      </c>
      <c r="J176" s="111">
        <f t="shared" ref="J176:J186" si="12">G176/E176*100</f>
        <v>0</v>
      </c>
      <c r="K176" s="13">
        <f t="shared" si="9"/>
        <v>-165</v>
      </c>
    </row>
    <row r="177" spans="1:11" ht="37.5" x14ac:dyDescent="0.2">
      <c r="A177" s="110">
        <v>1010</v>
      </c>
      <c r="B177" s="18" t="s">
        <v>324</v>
      </c>
      <c r="C177" s="112">
        <v>153.5</v>
      </c>
      <c r="D177" s="113"/>
      <c r="E177" s="17">
        <v>22.5</v>
      </c>
      <c r="F177" s="17">
        <v>22.5</v>
      </c>
      <c r="G177" s="112">
        <v>22.5</v>
      </c>
      <c r="H177" s="13">
        <f t="shared" si="8"/>
        <v>-131</v>
      </c>
      <c r="I177" s="111">
        <f t="shared" si="11"/>
        <v>-85.342019543973947</v>
      </c>
      <c r="J177" s="111">
        <f t="shared" si="12"/>
        <v>100</v>
      </c>
      <c r="K177" s="13">
        <f t="shared" si="9"/>
        <v>0</v>
      </c>
    </row>
    <row r="178" spans="1:11" ht="40.5" customHeight="1" x14ac:dyDescent="0.2">
      <c r="A178" s="110">
        <v>1010</v>
      </c>
      <c r="B178" s="18" t="s">
        <v>348</v>
      </c>
      <c r="C178" s="112"/>
      <c r="D178" s="113"/>
      <c r="E178" s="17">
        <v>50</v>
      </c>
      <c r="F178" s="17">
        <v>50</v>
      </c>
      <c r="G178" s="112"/>
      <c r="H178" s="13">
        <f t="shared" si="8"/>
        <v>0</v>
      </c>
      <c r="I178" s="111"/>
      <c r="J178" s="111">
        <f t="shared" si="12"/>
        <v>0</v>
      </c>
      <c r="K178" s="13">
        <f t="shared" si="9"/>
        <v>-50</v>
      </c>
    </row>
    <row r="179" spans="1:11" ht="59.25" customHeight="1" x14ac:dyDescent="0.2">
      <c r="A179" s="8" t="s">
        <v>104</v>
      </c>
      <c r="B179" s="114" t="s">
        <v>191</v>
      </c>
      <c r="C179" s="112"/>
      <c r="D179" s="113"/>
      <c r="E179" s="17">
        <v>99.3</v>
      </c>
      <c r="F179" s="17">
        <v>99.3</v>
      </c>
      <c r="G179" s="112">
        <f>80.9-60</f>
        <v>20.900000000000006</v>
      </c>
      <c r="H179" s="13">
        <f t="shared" si="8"/>
        <v>20.900000000000006</v>
      </c>
      <c r="I179" s="111"/>
      <c r="J179" s="111">
        <f t="shared" si="12"/>
        <v>21.047331319234651</v>
      </c>
      <c r="K179" s="13">
        <f t="shared" si="9"/>
        <v>-78.399999999999991</v>
      </c>
    </row>
    <row r="180" spans="1:11" ht="36" customHeight="1" x14ac:dyDescent="0.2">
      <c r="A180" s="8" t="s">
        <v>104</v>
      </c>
      <c r="B180" s="115" t="s">
        <v>84</v>
      </c>
      <c r="C180" s="35">
        <v>5</v>
      </c>
      <c r="D180" s="35"/>
      <c r="E180" s="35">
        <v>23</v>
      </c>
      <c r="F180" s="35">
        <v>23</v>
      </c>
      <c r="G180" s="35">
        <v>20</v>
      </c>
      <c r="H180" s="13">
        <f t="shared" si="8"/>
        <v>15</v>
      </c>
      <c r="I180" s="111">
        <f t="shared" si="11"/>
        <v>300</v>
      </c>
      <c r="J180" s="111">
        <f t="shared" si="12"/>
        <v>86.956521739130437</v>
      </c>
      <c r="K180" s="13">
        <f t="shared" si="9"/>
        <v>-3</v>
      </c>
    </row>
    <row r="181" spans="1:11" ht="37.5" x14ac:dyDescent="0.2">
      <c r="A181" s="8" t="s">
        <v>104</v>
      </c>
      <c r="B181" s="115" t="s">
        <v>192</v>
      </c>
      <c r="C181" s="35">
        <v>1.1000000000000001</v>
      </c>
      <c r="D181" s="35"/>
      <c r="E181" s="35">
        <v>1087.7</v>
      </c>
      <c r="F181" s="35">
        <v>1087.7</v>
      </c>
      <c r="G181" s="35">
        <f>244.6-0.1</f>
        <v>244.5</v>
      </c>
      <c r="H181" s="13">
        <f t="shared" si="8"/>
        <v>243.4</v>
      </c>
      <c r="I181" s="111">
        <f t="shared" si="11"/>
        <v>22127.272727272724</v>
      </c>
      <c r="J181" s="111">
        <f t="shared" si="12"/>
        <v>22.478624620759398</v>
      </c>
      <c r="K181" s="13">
        <f t="shared" si="9"/>
        <v>-843.2</v>
      </c>
    </row>
    <row r="182" spans="1:11" ht="45" customHeight="1" x14ac:dyDescent="0.2">
      <c r="A182" s="8" t="s">
        <v>104</v>
      </c>
      <c r="B182" s="115" t="s">
        <v>349</v>
      </c>
      <c r="C182" s="35"/>
      <c r="D182" s="35"/>
      <c r="E182" s="35">
        <v>35.299999999999997</v>
      </c>
      <c r="F182" s="35">
        <v>35.299999999999997</v>
      </c>
      <c r="G182" s="35">
        <f>35.3-35.3</f>
        <v>0</v>
      </c>
      <c r="H182" s="13">
        <f t="shared" si="8"/>
        <v>0</v>
      </c>
      <c r="I182" s="111"/>
      <c r="J182" s="111">
        <f t="shared" si="12"/>
        <v>0</v>
      </c>
      <c r="K182" s="13">
        <f t="shared" si="9"/>
        <v>-35.299999999999997</v>
      </c>
    </row>
    <row r="183" spans="1:11" ht="37.5" x14ac:dyDescent="0.2">
      <c r="A183" s="8" t="s">
        <v>104</v>
      </c>
      <c r="B183" s="115" t="s">
        <v>83</v>
      </c>
      <c r="C183" s="35">
        <v>25.4</v>
      </c>
      <c r="D183" s="35"/>
      <c r="E183" s="35">
        <v>119.9</v>
      </c>
      <c r="F183" s="35">
        <v>119.9</v>
      </c>
      <c r="G183" s="35"/>
      <c r="H183" s="13">
        <f t="shared" si="8"/>
        <v>-25.4</v>
      </c>
      <c r="I183" s="111">
        <f t="shared" si="11"/>
        <v>-100</v>
      </c>
      <c r="J183" s="111">
        <f t="shared" si="12"/>
        <v>0</v>
      </c>
      <c r="K183" s="13">
        <f t="shared" si="9"/>
        <v>-119.9</v>
      </c>
    </row>
    <row r="184" spans="1:11" ht="75" x14ac:dyDescent="0.2">
      <c r="A184" s="116" t="s">
        <v>104</v>
      </c>
      <c r="B184" s="117" t="s">
        <v>351</v>
      </c>
      <c r="C184" s="35"/>
      <c r="D184" s="35"/>
      <c r="E184" s="35">
        <v>40</v>
      </c>
      <c r="F184" s="35">
        <v>40</v>
      </c>
      <c r="G184" s="35"/>
      <c r="H184" s="13">
        <f t="shared" si="8"/>
        <v>0</v>
      </c>
      <c r="I184" s="111"/>
      <c r="J184" s="111">
        <f t="shared" si="12"/>
        <v>0</v>
      </c>
      <c r="K184" s="13">
        <f t="shared" si="9"/>
        <v>-40</v>
      </c>
    </row>
    <row r="185" spans="1:11" ht="83.25" customHeight="1" x14ac:dyDescent="0.2">
      <c r="A185" s="8" t="s">
        <v>322</v>
      </c>
      <c r="B185" s="118" t="s">
        <v>323</v>
      </c>
      <c r="C185" s="35">
        <v>5</v>
      </c>
      <c r="D185" s="35"/>
      <c r="E185" s="35"/>
      <c r="F185" s="35"/>
      <c r="G185" s="35"/>
      <c r="H185" s="13">
        <f t="shared" si="8"/>
        <v>-5</v>
      </c>
      <c r="I185" s="111">
        <f t="shared" si="11"/>
        <v>-100</v>
      </c>
      <c r="J185" s="111"/>
      <c r="K185" s="13">
        <f t="shared" si="9"/>
        <v>0</v>
      </c>
    </row>
    <row r="186" spans="1:11" ht="82.5" customHeight="1" x14ac:dyDescent="0.2">
      <c r="A186" s="8" t="s">
        <v>322</v>
      </c>
      <c r="B186" s="118" t="s">
        <v>350</v>
      </c>
      <c r="C186" s="35"/>
      <c r="D186" s="35"/>
      <c r="E186" s="35">
        <v>20</v>
      </c>
      <c r="F186" s="35">
        <v>20</v>
      </c>
      <c r="G186" s="35"/>
      <c r="H186" s="13">
        <f t="shared" si="8"/>
        <v>0</v>
      </c>
      <c r="I186" s="111"/>
      <c r="J186" s="111">
        <f t="shared" si="12"/>
        <v>0</v>
      </c>
      <c r="K186" s="13">
        <f t="shared" si="9"/>
        <v>-20</v>
      </c>
    </row>
    <row r="187" spans="1:11" ht="56.25" x14ac:dyDescent="0.2">
      <c r="A187" s="8" t="s">
        <v>231</v>
      </c>
      <c r="B187" s="27" t="s">
        <v>347</v>
      </c>
      <c r="C187" s="35">
        <v>14.5</v>
      </c>
      <c r="D187" s="35"/>
      <c r="E187" s="35">
        <v>122</v>
      </c>
      <c r="F187" s="35">
        <v>122</v>
      </c>
      <c r="G187" s="35"/>
      <c r="H187" s="13">
        <f t="shared" si="8"/>
        <v>-14.5</v>
      </c>
      <c r="I187" s="13"/>
      <c r="J187" s="13">
        <f t="shared" si="7"/>
        <v>0</v>
      </c>
      <c r="K187" s="13">
        <f t="shared" si="9"/>
        <v>-122</v>
      </c>
    </row>
    <row r="188" spans="1:11" ht="56.25" x14ac:dyDescent="0.2">
      <c r="A188" s="8" t="s">
        <v>231</v>
      </c>
      <c r="B188" s="27" t="s">
        <v>325</v>
      </c>
      <c r="C188" s="35">
        <v>20</v>
      </c>
      <c r="D188" s="35"/>
      <c r="E188" s="35"/>
      <c r="F188" s="35"/>
      <c r="G188" s="35"/>
      <c r="H188" s="13">
        <f t="shared" si="8"/>
        <v>-20</v>
      </c>
      <c r="I188" s="13"/>
      <c r="J188" s="13"/>
      <c r="K188" s="13">
        <f t="shared" si="9"/>
        <v>0</v>
      </c>
    </row>
    <row r="189" spans="1:11" ht="56.45" customHeight="1" x14ac:dyDescent="0.2">
      <c r="A189" s="8" t="s">
        <v>231</v>
      </c>
      <c r="B189" s="27" t="s">
        <v>193</v>
      </c>
      <c r="C189" s="44">
        <v>95.6</v>
      </c>
      <c r="D189" s="35"/>
      <c r="E189" s="44">
        <v>105</v>
      </c>
      <c r="F189" s="44">
        <v>105</v>
      </c>
      <c r="G189" s="44"/>
      <c r="H189" s="13">
        <f t="shared" si="8"/>
        <v>-95.6</v>
      </c>
      <c r="I189" s="13"/>
      <c r="J189" s="13"/>
      <c r="K189" s="13">
        <f t="shared" si="9"/>
        <v>-105</v>
      </c>
    </row>
    <row r="190" spans="1:11" ht="56.25" hidden="1" x14ac:dyDescent="0.2">
      <c r="A190" s="8" t="s">
        <v>232</v>
      </c>
      <c r="B190" s="27" t="s">
        <v>79</v>
      </c>
      <c r="C190" s="44"/>
      <c r="D190" s="35"/>
      <c r="E190" s="44"/>
      <c r="F190" s="44"/>
      <c r="G190" s="44"/>
      <c r="H190" s="13">
        <f t="shared" si="8"/>
        <v>0</v>
      </c>
      <c r="I190" s="13"/>
      <c r="J190" s="13" t="e">
        <f t="shared" si="7"/>
        <v>#DIV/0!</v>
      </c>
      <c r="K190" s="13">
        <f t="shared" si="9"/>
        <v>0</v>
      </c>
    </row>
    <row r="191" spans="1:11" ht="60" customHeight="1" x14ac:dyDescent="0.2">
      <c r="A191" s="8" t="s">
        <v>231</v>
      </c>
      <c r="B191" s="27" t="s">
        <v>346</v>
      </c>
      <c r="C191" s="44">
        <v>50</v>
      </c>
      <c r="D191" s="35"/>
      <c r="E191" s="44">
        <v>50</v>
      </c>
      <c r="F191" s="44">
        <v>50</v>
      </c>
      <c r="G191" s="44"/>
      <c r="H191" s="13">
        <f t="shared" si="8"/>
        <v>-50</v>
      </c>
      <c r="I191" s="13"/>
      <c r="J191" s="13">
        <f t="shared" si="7"/>
        <v>0</v>
      </c>
      <c r="K191" s="13">
        <f t="shared" si="9"/>
        <v>-50</v>
      </c>
    </row>
    <row r="192" spans="1:11" ht="45.75" hidden="1" customHeight="1" x14ac:dyDescent="0.2">
      <c r="A192" s="8"/>
      <c r="B192" s="27"/>
      <c r="C192" s="44"/>
      <c r="D192" s="35"/>
      <c r="E192" s="44"/>
      <c r="F192" s="44"/>
      <c r="G192" s="44"/>
      <c r="H192" s="13">
        <f t="shared" si="8"/>
        <v>0</v>
      </c>
      <c r="I192" s="13"/>
      <c r="J192" s="13" t="e">
        <f t="shared" si="7"/>
        <v>#DIV/0!</v>
      </c>
      <c r="K192" s="13"/>
    </row>
    <row r="193" spans="1:31" ht="56.25" x14ac:dyDescent="0.2">
      <c r="A193" s="8" t="s">
        <v>231</v>
      </c>
      <c r="B193" s="27" t="s">
        <v>80</v>
      </c>
      <c r="C193" s="44">
        <v>30</v>
      </c>
      <c r="D193" s="35"/>
      <c r="E193" s="44">
        <v>15.2</v>
      </c>
      <c r="F193" s="44">
        <v>15.2</v>
      </c>
      <c r="G193" s="44"/>
      <c r="H193" s="13">
        <f t="shared" si="8"/>
        <v>-30</v>
      </c>
      <c r="I193" s="13"/>
      <c r="J193" s="13">
        <f t="shared" si="7"/>
        <v>0</v>
      </c>
      <c r="K193" s="13">
        <f t="shared" si="9"/>
        <v>-15.2</v>
      </c>
    </row>
    <row r="194" spans="1:31" s="14" customFormat="1" ht="117.75" customHeight="1" x14ac:dyDescent="0.2">
      <c r="A194" s="186" t="s">
        <v>120</v>
      </c>
      <c r="B194" s="18" t="s">
        <v>211</v>
      </c>
      <c r="C194" s="96">
        <v>159.9</v>
      </c>
      <c r="D194" s="13">
        <v>579.9</v>
      </c>
      <c r="E194" s="13">
        <v>579.9</v>
      </c>
      <c r="F194" s="13">
        <v>289.3</v>
      </c>
      <c r="G194" s="96">
        <v>158.80000000000001</v>
      </c>
      <c r="H194" s="13">
        <f t="shared" si="8"/>
        <v>-1.0999999999999943</v>
      </c>
      <c r="I194" s="13">
        <f>((G194/C194)*100)-100</f>
        <v>-0.6879299562226322</v>
      </c>
      <c r="J194" s="13">
        <f t="shared" si="7"/>
        <v>27.384031729608555</v>
      </c>
      <c r="K194" s="13">
        <f t="shared" si="9"/>
        <v>-421.09999999999997</v>
      </c>
      <c r="L194" s="168"/>
      <c r="M194" s="168"/>
      <c r="N194" s="168"/>
      <c r="O194" s="168"/>
      <c r="P194" s="168"/>
      <c r="Q194" s="168"/>
      <c r="R194" s="168"/>
      <c r="S194" s="168"/>
      <c r="T194" s="168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</row>
    <row r="195" spans="1:31" s="14" customFormat="1" ht="48.75" customHeight="1" x14ac:dyDescent="0.2">
      <c r="A195" s="187"/>
      <c r="B195" s="18" t="s">
        <v>352</v>
      </c>
      <c r="C195" s="96"/>
      <c r="D195" s="13"/>
      <c r="E195" s="13">
        <v>10</v>
      </c>
      <c r="F195" s="13">
        <v>10</v>
      </c>
      <c r="G195" s="96"/>
      <c r="H195" s="13">
        <f t="shared" si="8"/>
        <v>0</v>
      </c>
      <c r="I195" s="13"/>
      <c r="J195" s="13">
        <f t="shared" si="7"/>
        <v>0</v>
      </c>
      <c r="K195" s="13">
        <f t="shared" si="9"/>
        <v>-10</v>
      </c>
      <c r="L195" s="168"/>
      <c r="M195" s="168"/>
      <c r="N195" s="168"/>
      <c r="O195" s="168"/>
      <c r="P195" s="168"/>
      <c r="Q195" s="168"/>
      <c r="R195" s="168"/>
      <c r="S195" s="168"/>
      <c r="T195" s="168"/>
      <c r="U195" s="168"/>
      <c r="V195" s="168"/>
      <c r="W195" s="168"/>
      <c r="X195" s="168"/>
      <c r="Y195" s="168"/>
      <c r="Z195" s="168"/>
      <c r="AA195" s="168"/>
      <c r="AB195" s="168"/>
      <c r="AC195" s="168"/>
      <c r="AD195" s="168"/>
      <c r="AE195" s="168"/>
    </row>
    <row r="196" spans="1:31" ht="49.5" customHeight="1" x14ac:dyDescent="0.2">
      <c r="A196" s="36" t="s">
        <v>108</v>
      </c>
      <c r="B196" s="119" t="s">
        <v>41</v>
      </c>
      <c r="C196" s="35">
        <v>40.5</v>
      </c>
      <c r="D196" s="35">
        <v>280</v>
      </c>
      <c r="E196" s="35">
        <v>280</v>
      </c>
      <c r="F196" s="35">
        <v>139.80000000000001</v>
      </c>
      <c r="G196" s="35">
        <v>88.6</v>
      </c>
      <c r="H196" s="13">
        <f t="shared" si="8"/>
        <v>48.099999999999994</v>
      </c>
      <c r="I196" s="13">
        <f>((G196/C196)*100)-100</f>
        <v>118.76543209876539</v>
      </c>
      <c r="J196" s="13">
        <f t="shared" si="7"/>
        <v>31.642857142857139</v>
      </c>
      <c r="K196" s="13">
        <f t="shared" si="9"/>
        <v>-191.4</v>
      </c>
    </row>
    <row r="197" spans="1:31" ht="84.75" customHeight="1" x14ac:dyDescent="0.2">
      <c r="A197" s="36" t="s">
        <v>109</v>
      </c>
      <c r="B197" s="120" t="s">
        <v>42</v>
      </c>
      <c r="C197" s="35">
        <v>93.5</v>
      </c>
      <c r="D197" s="35">
        <v>246.2</v>
      </c>
      <c r="E197" s="35">
        <v>246.2</v>
      </c>
      <c r="F197" s="35">
        <v>123</v>
      </c>
      <c r="G197" s="35">
        <v>82.3</v>
      </c>
      <c r="H197" s="13">
        <f t="shared" si="8"/>
        <v>-11.200000000000003</v>
      </c>
      <c r="I197" s="13">
        <f>((G197/C197)*100)-100</f>
        <v>-11.978609625668454</v>
      </c>
      <c r="J197" s="13">
        <f t="shared" si="7"/>
        <v>33.428107229894394</v>
      </c>
      <c r="K197" s="13">
        <f t="shared" si="9"/>
        <v>-163.89999999999998</v>
      </c>
    </row>
    <row r="198" spans="1:31" ht="84.75" customHeight="1" x14ac:dyDescent="0.2">
      <c r="A198" s="36" t="s">
        <v>150</v>
      </c>
      <c r="B198" s="27" t="s">
        <v>224</v>
      </c>
      <c r="C198" s="35"/>
      <c r="D198" s="35"/>
      <c r="E198" s="35">
        <v>10</v>
      </c>
      <c r="F198" s="35">
        <v>10</v>
      </c>
      <c r="G198" s="35"/>
      <c r="H198" s="13">
        <f t="shared" si="8"/>
        <v>0</v>
      </c>
      <c r="I198" s="13"/>
      <c r="J198" s="13">
        <f t="shared" si="7"/>
        <v>0</v>
      </c>
      <c r="K198" s="13">
        <f t="shared" si="9"/>
        <v>-10</v>
      </c>
    </row>
    <row r="199" spans="1:31" ht="49.15" customHeight="1" x14ac:dyDescent="0.2">
      <c r="A199" s="36" t="s">
        <v>219</v>
      </c>
      <c r="B199" s="121" t="s">
        <v>230</v>
      </c>
      <c r="C199" s="35"/>
      <c r="D199" s="35"/>
      <c r="E199" s="35">
        <v>1000</v>
      </c>
      <c r="F199" s="35">
        <v>480</v>
      </c>
      <c r="G199" s="35">
        <v>300</v>
      </c>
      <c r="H199" s="13">
        <f t="shared" si="8"/>
        <v>300</v>
      </c>
      <c r="I199" s="13"/>
      <c r="J199" s="13">
        <f t="shared" si="7"/>
        <v>30</v>
      </c>
      <c r="K199" s="13">
        <f t="shared" si="9"/>
        <v>-700</v>
      </c>
    </row>
    <row r="200" spans="1:31" ht="60.6" customHeight="1" x14ac:dyDescent="0.2">
      <c r="A200" s="36" t="s">
        <v>144</v>
      </c>
      <c r="B200" s="122" t="s">
        <v>233</v>
      </c>
      <c r="C200" s="35"/>
      <c r="D200" s="35"/>
      <c r="E200" s="35">
        <v>608.70000000000005</v>
      </c>
      <c r="F200" s="35">
        <v>608.70000000000005</v>
      </c>
      <c r="G200" s="35"/>
      <c r="H200" s="13">
        <f t="shared" si="8"/>
        <v>0</v>
      </c>
      <c r="I200" s="13"/>
      <c r="J200" s="13">
        <f t="shared" si="7"/>
        <v>0</v>
      </c>
      <c r="K200" s="13">
        <f t="shared" si="9"/>
        <v>-608.70000000000005</v>
      </c>
    </row>
    <row r="201" spans="1:31" ht="46.15" customHeight="1" x14ac:dyDescent="0.2">
      <c r="A201" s="36" t="s">
        <v>185</v>
      </c>
      <c r="B201" s="27" t="s">
        <v>326</v>
      </c>
      <c r="C201" s="35">
        <v>43.9</v>
      </c>
      <c r="D201" s="35"/>
      <c r="E201" s="35">
        <v>164.2</v>
      </c>
      <c r="F201" s="35">
        <v>164.2</v>
      </c>
      <c r="G201" s="35">
        <v>38.299999999999997</v>
      </c>
      <c r="H201" s="13">
        <f t="shared" si="8"/>
        <v>-5.6000000000000014</v>
      </c>
      <c r="I201" s="13">
        <f>((G201/C201)*100)-100</f>
        <v>-12.756264236902055</v>
      </c>
      <c r="J201" s="13">
        <f t="shared" si="7"/>
        <v>23.325213154689404</v>
      </c>
      <c r="K201" s="13">
        <f t="shared" si="9"/>
        <v>-125.89999999999999</v>
      </c>
    </row>
    <row r="202" spans="1:31" ht="48" customHeight="1" x14ac:dyDescent="0.2">
      <c r="A202" s="36" t="s">
        <v>185</v>
      </c>
      <c r="B202" s="27" t="s">
        <v>327</v>
      </c>
      <c r="C202" s="35">
        <v>43.8</v>
      </c>
      <c r="D202" s="19"/>
      <c r="E202" s="35">
        <v>164.2</v>
      </c>
      <c r="F202" s="35">
        <v>164.2</v>
      </c>
      <c r="G202" s="35">
        <v>51.3</v>
      </c>
      <c r="H202" s="13">
        <f t="shared" si="8"/>
        <v>7.5</v>
      </c>
      <c r="I202" s="13">
        <f>((G202/C202)*100)-100</f>
        <v>17.123287671232873</v>
      </c>
      <c r="J202" s="13">
        <f t="shared" si="7"/>
        <v>31.242387332521314</v>
      </c>
      <c r="K202" s="13">
        <f t="shared" si="9"/>
        <v>-112.89999999999999</v>
      </c>
    </row>
    <row r="203" spans="1:31" ht="40.15" customHeight="1" x14ac:dyDescent="0.2">
      <c r="A203" s="36" t="s">
        <v>185</v>
      </c>
      <c r="B203" s="27" t="s">
        <v>328</v>
      </c>
      <c r="C203" s="35">
        <v>41.8</v>
      </c>
      <c r="D203" s="19"/>
      <c r="E203" s="35">
        <v>190.6</v>
      </c>
      <c r="F203" s="35">
        <v>190.6</v>
      </c>
      <c r="G203" s="35">
        <v>41.1</v>
      </c>
      <c r="H203" s="13">
        <f>G203-C203</f>
        <v>-0.69999999999999574</v>
      </c>
      <c r="I203" s="13">
        <f>((G203/C203)*100)-100</f>
        <v>-1.6746411483253496</v>
      </c>
      <c r="J203" s="13">
        <f>G203/E203*100</f>
        <v>21.563483735571879</v>
      </c>
      <c r="K203" s="13">
        <f>G203-E203</f>
        <v>-149.5</v>
      </c>
    </row>
    <row r="204" spans="1:31" ht="37.5" hidden="1" x14ac:dyDescent="0.2">
      <c r="A204" s="36" t="s">
        <v>110</v>
      </c>
      <c r="B204" s="27" t="s">
        <v>212</v>
      </c>
      <c r="C204" s="35"/>
      <c r="D204" s="19"/>
      <c r="E204" s="35"/>
      <c r="F204" s="35"/>
      <c r="G204" s="35"/>
      <c r="H204" s="13">
        <f>G204-C204</f>
        <v>0</v>
      </c>
      <c r="I204" s="13"/>
      <c r="J204" s="13" t="e">
        <f>G204/E204*100</f>
        <v>#DIV/0!</v>
      </c>
      <c r="K204" s="13">
        <f>G204-E204</f>
        <v>0</v>
      </c>
    </row>
    <row r="205" spans="1:31" ht="132.6" hidden="1" customHeight="1" x14ac:dyDescent="0.2">
      <c r="A205" s="36" t="s">
        <v>188</v>
      </c>
      <c r="B205" s="27" t="s">
        <v>213</v>
      </c>
      <c r="C205" s="35"/>
      <c r="D205" s="19"/>
      <c r="E205" s="35"/>
      <c r="F205" s="35"/>
      <c r="G205" s="35"/>
      <c r="H205" s="13">
        <f>G205-C205</f>
        <v>0</v>
      </c>
      <c r="I205" s="13"/>
      <c r="J205" s="13" t="e">
        <f>G205/E205*100</f>
        <v>#DIV/0!</v>
      </c>
      <c r="K205" s="13">
        <f>G205-E205</f>
        <v>0</v>
      </c>
    </row>
    <row r="206" spans="1:31" ht="135" customHeight="1" x14ac:dyDescent="0.2">
      <c r="A206" s="36" t="s">
        <v>188</v>
      </c>
      <c r="B206" s="27" t="s">
        <v>329</v>
      </c>
      <c r="C206" s="35">
        <v>80</v>
      </c>
      <c r="D206" s="19"/>
      <c r="E206" s="35">
        <v>150</v>
      </c>
      <c r="F206" s="35">
        <v>150</v>
      </c>
      <c r="G206" s="35">
        <v>100</v>
      </c>
      <c r="H206" s="13"/>
      <c r="I206" s="13"/>
      <c r="J206" s="13"/>
      <c r="K206" s="13"/>
    </row>
    <row r="207" spans="1:31" ht="42.75" customHeight="1" x14ac:dyDescent="0.2">
      <c r="A207" s="183" t="s">
        <v>43</v>
      </c>
      <c r="B207" s="183"/>
      <c r="C207" s="19">
        <f>C153+C158+C174</f>
        <v>1223068.6000000001</v>
      </c>
      <c r="D207" s="19">
        <f>D153+D158+D174</f>
        <v>2294478.3000000003</v>
      </c>
      <c r="E207" s="19">
        <f>E153+E158+E174</f>
        <v>2167582.5</v>
      </c>
      <c r="F207" s="19">
        <f>F153+F158+F174</f>
        <v>1422907.9000000001</v>
      </c>
      <c r="G207" s="19">
        <f>G153+G158+G174</f>
        <v>1163784.0000000002</v>
      </c>
      <c r="H207" s="13">
        <f t="shared" si="8"/>
        <v>-59284.59999999986</v>
      </c>
      <c r="I207" s="13">
        <f>((G207/C207)*100)-100</f>
        <v>-4.8472015388179983</v>
      </c>
      <c r="J207" s="13">
        <f t="shared" si="7"/>
        <v>53.690413167664907</v>
      </c>
      <c r="K207" s="13">
        <f t="shared" si="9"/>
        <v>-1003798.4999999998</v>
      </c>
    </row>
    <row r="208" spans="1:31" ht="42.75" hidden="1" customHeight="1" x14ac:dyDescent="0.2">
      <c r="A208" s="92"/>
      <c r="B208" s="92"/>
      <c r="C208" s="19"/>
      <c r="D208" s="19">
        <v>2294478.2999999998</v>
      </c>
      <c r="E208" s="19">
        <f>2167507.5+75</f>
        <v>2167582.5</v>
      </c>
      <c r="F208" s="19">
        <v>1422907.9</v>
      </c>
      <c r="G208" s="19">
        <v>1163784</v>
      </c>
      <c r="H208" s="13"/>
      <c r="I208" s="13"/>
      <c r="J208" s="13"/>
      <c r="K208" s="13"/>
    </row>
    <row r="209" spans="1:31" ht="42.75" hidden="1" customHeight="1" x14ac:dyDescent="0.2">
      <c r="A209" s="92"/>
      <c r="B209" s="92"/>
      <c r="C209" s="19"/>
      <c r="D209" s="19">
        <f>D207-D208</f>
        <v>0</v>
      </c>
      <c r="E209" s="94">
        <f>E207-E208</f>
        <v>0</v>
      </c>
      <c r="F209" s="94">
        <f>F207-F208</f>
        <v>0</v>
      </c>
      <c r="G209" s="94">
        <f>G207-G208</f>
        <v>0</v>
      </c>
      <c r="H209" s="13"/>
      <c r="I209" s="13"/>
      <c r="J209" s="13"/>
      <c r="K209" s="13"/>
    </row>
    <row r="210" spans="1:31" ht="32.25" customHeight="1" x14ac:dyDescent="0.2">
      <c r="A210" s="184" t="s">
        <v>44</v>
      </c>
      <c r="B210" s="184"/>
      <c r="C210" s="184"/>
      <c r="D210" s="184"/>
      <c r="E210" s="184"/>
      <c r="F210" s="184"/>
      <c r="G210" s="184"/>
      <c r="H210" s="184"/>
      <c r="I210" s="184"/>
      <c r="J210" s="184"/>
      <c r="K210" s="184"/>
    </row>
    <row r="211" spans="1:31" ht="30.75" customHeight="1" x14ac:dyDescent="0.2">
      <c r="A211" s="36" t="s">
        <v>121</v>
      </c>
      <c r="B211" s="123" t="s">
        <v>93</v>
      </c>
      <c r="C211" s="19">
        <v>382.7</v>
      </c>
      <c r="D211" s="19">
        <v>4720</v>
      </c>
      <c r="E211" s="19">
        <v>5565.3190000000004</v>
      </c>
      <c r="F211" s="19">
        <f>4965.319</f>
        <v>4965.3190000000004</v>
      </c>
      <c r="G211" s="19">
        <f>862.51178</f>
        <v>862.51178000000004</v>
      </c>
      <c r="H211" s="19">
        <f>G211-C211</f>
        <v>479.81178000000006</v>
      </c>
      <c r="I211" s="19">
        <f>((G211/C211)*100)-100</f>
        <v>125.37543245361906</v>
      </c>
      <c r="J211" s="19">
        <f>G211/E211*100</f>
        <v>15.497975587742587</v>
      </c>
      <c r="K211" s="13">
        <f>G211-E211</f>
        <v>-4702.8072200000006</v>
      </c>
    </row>
    <row r="212" spans="1:31" ht="36" customHeight="1" x14ac:dyDescent="0.2">
      <c r="A212" s="36" t="s">
        <v>92</v>
      </c>
      <c r="B212" s="124" t="s">
        <v>103</v>
      </c>
      <c r="C212" s="19">
        <v>6830.6</v>
      </c>
      <c r="D212" s="19">
        <v>6500</v>
      </c>
      <c r="E212" s="19">
        <f>13809.296</f>
        <v>13809.296</v>
      </c>
      <c r="F212" s="19">
        <f>12609.296</f>
        <v>12609.296</v>
      </c>
      <c r="G212" s="19">
        <f>8848.981</f>
        <v>8848.9809999999998</v>
      </c>
      <c r="H212" s="19">
        <f t="shared" ref="H212:H275" si="13">G212-C212</f>
        <v>2018.3809999999994</v>
      </c>
      <c r="I212" s="19">
        <f>((G212/C212)*100)-100</f>
        <v>29.549102567856409</v>
      </c>
      <c r="J212" s="19">
        <f t="shared" ref="J212:J275" si="14">G212/E212*100</f>
        <v>64.079885028172328</v>
      </c>
      <c r="K212" s="13">
        <f t="shared" ref="K212:K275" si="15">G212-E212</f>
        <v>-4960.3150000000005</v>
      </c>
    </row>
    <row r="213" spans="1:31" s="45" customFormat="1" x14ac:dyDescent="0.2">
      <c r="A213" s="125" t="s">
        <v>91</v>
      </c>
      <c r="B213" s="124" t="s">
        <v>6</v>
      </c>
      <c r="C213" s="19">
        <v>6061.1</v>
      </c>
      <c r="D213" s="19">
        <v>55468</v>
      </c>
      <c r="E213" s="19">
        <f>73420.27955-930.3-520.5-1116.17826-1803.87692</f>
        <v>69049.424370000008</v>
      </c>
      <c r="F213" s="19">
        <f>61128.07855-591.7-198.4-1116.17826-1803.87692</f>
        <v>57417.923369999997</v>
      </c>
      <c r="G213" s="19">
        <f>21008.446-152.22937-350.6298</f>
        <v>20505.58683</v>
      </c>
      <c r="H213" s="19">
        <f t="shared" si="13"/>
        <v>14444.48683</v>
      </c>
      <c r="I213" s="19">
        <f>((G213/C213)*100)-100</f>
        <v>238.31461005428054</v>
      </c>
      <c r="J213" s="19">
        <f t="shared" si="14"/>
        <v>29.696969985037398</v>
      </c>
      <c r="K213" s="13">
        <f t="shared" si="15"/>
        <v>-48543.837540000008</v>
      </c>
      <c r="L213" s="172"/>
      <c r="M213" s="172">
        <v>52716.3</v>
      </c>
      <c r="N213" s="172"/>
      <c r="O213" s="172"/>
      <c r="P213" s="172"/>
      <c r="Q213" s="172"/>
      <c r="R213" s="172"/>
      <c r="S213" s="172"/>
      <c r="T213" s="172"/>
      <c r="U213" s="172"/>
      <c r="V213" s="172"/>
      <c r="W213" s="172"/>
      <c r="X213" s="172"/>
      <c r="Y213" s="172"/>
      <c r="Z213" s="172"/>
      <c r="AA213" s="172"/>
      <c r="AB213" s="172"/>
      <c r="AC213" s="172"/>
      <c r="AD213" s="172"/>
      <c r="AE213" s="172"/>
    </row>
    <row r="214" spans="1:31" x14ac:dyDescent="0.2">
      <c r="A214" s="15"/>
      <c r="B214" s="20" t="s">
        <v>3</v>
      </c>
      <c r="C214" s="17"/>
      <c r="D214" s="17"/>
      <c r="E214" s="17"/>
      <c r="F214" s="17"/>
      <c r="G214" s="17"/>
      <c r="H214" s="19">
        <f t="shared" si="13"/>
        <v>0</v>
      </c>
      <c r="I214" s="19"/>
      <c r="J214" s="19"/>
      <c r="K214" s="13">
        <f t="shared" si="15"/>
        <v>0</v>
      </c>
    </row>
    <row r="215" spans="1:31" ht="75" x14ac:dyDescent="0.2">
      <c r="A215" s="15"/>
      <c r="B215" s="16" t="s">
        <v>73</v>
      </c>
      <c r="C215" s="17">
        <v>110.6</v>
      </c>
      <c r="D215" s="17"/>
      <c r="E215" s="17">
        <v>106.07937</v>
      </c>
      <c r="F215" s="17">
        <v>106.07937</v>
      </c>
      <c r="G215" s="17">
        <v>50.885390000000001</v>
      </c>
      <c r="H215" s="19">
        <f t="shared" si="13"/>
        <v>-59.714609999999993</v>
      </c>
      <c r="I215" s="19">
        <f>((G215/C215)*100)-100</f>
        <v>-53.991509945750451</v>
      </c>
      <c r="J215" s="19">
        <f t="shared" si="14"/>
        <v>47.969166860625215</v>
      </c>
      <c r="K215" s="13">
        <f t="shared" si="15"/>
        <v>-55.193979999999996</v>
      </c>
    </row>
    <row r="216" spans="1:31" ht="79.900000000000006" customHeight="1" x14ac:dyDescent="0.2">
      <c r="A216" s="15"/>
      <c r="B216" s="16" t="s">
        <v>215</v>
      </c>
      <c r="C216" s="17"/>
      <c r="D216" s="17"/>
      <c r="E216" s="17">
        <v>1245.4670000000001</v>
      </c>
      <c r="F216" s="17">
        <v>1245.4670000000001</v>
      </c>
      <c r="G216" s="17"/>
      <c r="H216" s="19">
        <f t="shared" si="13"/>
        <v>0</v>
      </c>
      <c r="I216" s="19"/>
      <c r="J216" s="19">
        <f t="shared" si="14"/>
        <v>0</v>
      </c>
      <c r="K216" s="13">
        <f t="shared" si="15"/>
        <v>-1245.4670000000001</v>
      </c>
    </row>
    <row r="217" spans="1:31" ht="93" customHeight="1" x14ac:dyDescent="0.2">
      <c r="A217" s="15"/>
      <c r="B217" s="22" t="s">
        <v>88</v>
      </c>
      <c r="C217" s="17">
        <v>54.6</v>
      </c>
      <c r="D217" s="17"/>
      <c r="E217" s="17">
        <v>499.69799999999998</v>
      </c>
      <c r="F217" s="17">
        <v>499.69799999999998</v>
      </c>
      <c r="G217" s="17">
        <v>15</v>
      </c>
      <c r="H217" s="19">
        <f t="shared" si="13"/>
        <v>-39.6</v>
      </c>
      <c r="I217" s="19">
        <f>((G217/C217)*100)-100</f>
        <v>-72.527472527472526</v>
      </c>
      <c r="J217" s="19">
        <f t="shared" si="14"/>
        <v>3.0018130951094459</v>
      </c>
      <c r="K217" s="13">
        <f t="shared" si="15"/>
        <v>-484.69799999999998</v>
      </c>
    </row>
    <row r="218" spans="1:31" s="45" customFormat="1" ht="43.5" customHeight="1" x14ac:dyDescent="0.2">
      <c r="A218" s="125" t="s">
        <v>94</v>
      </c>
      <c r="B218" s="124" t="s">
        <v>9</v>
      </c>
      <c r="C218" s="19">
        <v>8078.3</v>
      </c>
      <c r="D218" s="19">
        <v>35344</v>
      </c>
      <c r="E218" s="19">
        <f>33088.49</f>
        <v>33088.49</v>
      </c>
      <c r="F218" s="19">
        <f>19088.49</f>
        <v>19088.490000000002</v>
      </c>
      <c r="G218" s="19">
        <f>4945.44086</f>
        <v>4945.4408599999997</v>
      </c>
      <c r="H218" s="19">
        <f t="shared" si="13"/>
        <v>-3132.8591400000005</v>
      </c>
      <c r="I218" s="19">
        <f>((G218/C218)*100)-100</f>
        <v>-38.781168562692649</v>
      </c>
      <c r="J218" s="19">
        <f t="shared" si="14"/>
        <v>14.946106213973501</v>
      </c>
      <c r="K218" s="13">
        <f t="shared" si="15"/>
        <v>-28143.049139999999</v>
      </c>
      <c r="L218" s="172"/>
      <c r="M218" s="172"/>
      <c r="N218" s="172"/>
      <c r="O218" s="172"/>
      <c r="P218" s="172"/>
      <c r="Q218" s="172"/>
      <c r="R218" s="172"/>
      <c r="S218" s="172"/>
      <c r="T218" s="172"/>
      <c r="U218" s="172"/>
      <c r="V218" s="172"/>
      <c r="W218" s="172"/>
      <c r="X218" s="172"/>
      <c r="Y218" s="172"/>
      <c r="Z218" s="172"/>
      <c r="AA218" s="172"/>
      <c r="AB218" s="172"/>
      <c r="AC218" s="172"/>
      <c r="AD218" s="172"/>
      <c r="AE218" s="172"/>
    </row>
    <row r="219" spans="1:31" s="45" customFormat="1" x14ac:dyDescent="0.2">
      <c r="A219" s="125"/>
      <c r="B219" s="20" t="s">
        <v>3</v>
      </c>
      <c r="C219" s="19"/>
      <c r="D219" s="19"/>
      <c r="E219" s="19"/>
      <c r="F219" s="19"/>
      <c r="G219" s="19"/>
      <c r="H219" s="19">
        <f t="shared" si="13"/>
        <v>0</v>
      </c>
      <c r="I219" s="19"/>
      <c r="J219" s="19"/>
      <c r="K219" s="13">
        <f t="shared" si="15"/>
        <v>0</v>
      </c>
      <c r="L219" s="172"/>
      <c r="M219" s="172"/>
      <c r="N219" s="172"/>
      <c r="O219" s="172"/>
      <c r="P219" s="172"/>
      <c r="Q219" s="172"/>
      <c r="R219" s="172"/>
      <c r="S219" s="172"/>
      <c r="T219" s="172"/>
      <c r="U219" s="172"/>
      <c r="V219" s="172"/>
      <c r="W219" s="172"/>
      <c r="X219" s="172"/>
      <c r="Y219" s="172"/>
      <c r="Z219" s="172"/>
      <c r="AA219" s="172"/>
      <c r="AB219" s="172"/>
      <c r="AC219" s="172"/>
      <c r="AD219" s="172"/>
      <c r="AE219" s="172"/>
    </row>
    <row r="220" spans="1:31" ht="73.150000000000006" customHeight="1" x14ac:dyDescent="0.2">
      <c r="A220" s="15"/>
      <c r="B220" s="16" t="s">
        <v>215</v>
      </c>
      <c r="C220" s="17"/>
      <c r="D220" s="17"/>
      <c r="E220" s="17">
        <v>42</v>
      </c>
      <c r="F220" s="17">
        <v>42</v>
      </c>
      <c r="G220" s="17"/>
      <c r="H220" s="19">
        <f t="shared" si="13"/>
        <v>0</v>
      </c>
      <c r="I220" s="19"/>
      <c r="J220" s="19">
        <f t="shared" si="14"/>
        <v>0</v>
      </c>
      <c r="K220" s="13">
        <f t="shared" si="15"/>
        <v>-42</v>
      </c>
    </row>
    <row r="221" spans="1:31" ht="87.75" customHeight="1" x14ac:dyDescent="0.2">
      <c r="A221" s="15"/>
      <c r="B221" s="16" t="s">
        <v>71</v>
      </c>
      <c r="C221" s="17"/>
      <c r="D221" s="17"/>
      <c r="E221" s="17">
        <v>94.99</v>
      </c>
      <c r="F221" s="17">
        <f>94.99</f>
        <v>94.99</v>
      </c>
      <c r="G221" s="17">
        <f>11.961</f>
        <v>11.961</v>
      </c>
      <c r="H221" s="19">
        <f t="shared" si="13"/>
        <v>11.961</v>
      </c>
      <c r="I221" s="19"/>
      <c r="J221" s="19">
        <f t="shared" si="14"/>
        <v>12.591851773870935</v>
      </c>
      <c r="K221" s="13">
        <f t="shared" si="15"/>
        <v>-83.028999999999996</v>
      </c>
    </row>
    <row r="222" spans="1:31" ht="37.5" x14ac:dyDescent="0.2">
      <c r="A222" s="125" t="s">
        <v>95</v>
      </c>
      <c r="B222" s="124" t="s">
        <v>96</v>
      </c>
      <c r="C222" s="9"/>
      <c r="D222" s="9">
        <v>1030</v>
      </c>
      <c r="E222" s="9">
        <v>1930</v>
      </c>
      <c r="F222" s="9">
        <f>1490</f>
        <v>1490</v>
      </c>
      <c r="G222" s="9">
        <v>136.19472999999999</v>
      </c>
      <c r="H222" s="19">
        <f t="shared" si="13"/>
        <v>136.19472999999999</v>
      </c>
      <c r="I222" s="19"/>
      <c r="J222" s="19">
        <f t="shared" si="14"/>
        <v>7.0567217616580304</v>
      </c>
      <c r="K222" s="13">
        <f t="shared" si="15"/>
        <v>-1793.8052700000001</v>
      </c>
    </row>
    <row r="223" spans="1:31" s="24" customFormat="1" ht="37.5" customHeight="1" x14ac:dyDescent="0.2">
      <c r="A223" s="125" t="s">
        <v>97</v>
      </c>
      <c r="B223" s="124" t="s">
        <v>98</v>
      </c>
      <c r="C223" s="126">
        <v>1436.7</v>
      </c>
      <c r="D223" s="126">
        <v>11547</v>
      </c>
      <c r="E223" s="126">
        <f>12531.326-85</f>
        <v>12446.325999999999</v>
      </c>
      <c r="F223" s="126">
        <f>9935.326-85</f>
        <v>9850.3259999999991</v>
      </c>
      <c r="G223" s="126">
        <f>1202.69789-15</f>
        <v>1187.6978899999999</v>
      </c>
      <c r="H223" s="19">
        <f t="shared" si="13"/>
        <v>-249.00211000000013</v>
      </c>
      <c r="I223" s="19">
        <f>((G223/C223)*100)-100</f>
        <v>-17.331531286977111</v>
      </c>
      <c r="J223" s="19">
        <f t="shared" si="14"/>
        <v>9.5425581010813953</v>
      </c>
      <c r="K223" s="13">
        <f t="shared" si="15"/>
        <v>-11258.62811</v>
      </c>
      <c r="L223" s="170"/>
      <c r="M223" s="170"/>
      <c r="N223" s="170"/>
      <c r="O223" s="170"/>
      <c r="P223" s="170"/>
      <c r="Q223" s="170"/>
      <c r="R223" s="170"/>
      <c r="S223" s="170"/>
      <c r="T223" s="170"/>
      <c r="U223" s="170"/>
      <c r="V223" s="170"/>
      <c r="W223" s="170"/>
      <c r="X223" s="170"/>
      <c r="Y223" s="170"/>
      <c r="Z223" s="170"/>
      <c r="AA223" s="170"/>
      <c r="AB223" s="170"/>
      <c r="AC223" s="170"/>
      <c r="AD223" s="170"/>
      <c r="AE223" s="170"/>
    </row>
    <row r="224" spans="1:31" s="24" customFormat="1" ht="24" customHeight="1" x14ac:dyDescent="0.2">
      <c r="A224" s="15"/>
      <c r="B224" s="20" t="s">
        <v>3</v>
      </c>
      <c r="C224" s="17"/>
      <c r="D224" s="99"/>
      <c r="E224" s="17"/>
      <c r="F224" s="17"/>
      <c r="G224" s="17"/>
      <c r="H224" s="19">
        <f t="shared" si="13"/>
        <v>0</v>
      </c>
      <c r="I224" s="19"/>
      <c r="J224" s="19"/>
      <c r="K224" s="13">
        <f t="shared" si="15"/>
        <v>0</v>
      </c>
      <c r="L224" s="170"/>
      <c r="M224" s="170"/>
      <c r="N224" s="170"/>
      <c r="O224" s="170"/>
      <c r="P224" s="170"/>
      <c r="Q224" s="170"/>
      <c r="R224" s="170"/>
      <c r="S224" s="170"/>
      <c r="T224" s="170"/>
      <c r="U224" s="170"/>
      <c r="V224" s="170"/>
      <c r="W224" s="170"/>
      <c r="X224" s="170"/>
      <c r="Y224" s="170"/>
      <c r="Z224" s="170"/>
      <c r="AA224" s="170"/>
      <c r="AB224" s="170"/>
      <c r="AC224" s="170"/>
      <c r="AD224" s="170"/>
      <c r="AE224" s="170"/>
    </row>
    <row r="225" spans="1:31" s="24" customFormat="1" ht="45" hidden="1" customHeight="1" x14ac:dyDescent="0.2">
      <c r="A225" s="15"/>
      <c r="B225" s="16" t="s">
        <v>68</v>
      </c>
      <c r="C225" s="17"/>
      <c r="D225" s="99"/>
      <c r="E225" s="17"/>
      <c r="F225" s="17"/>
      <c r="G225" s="17"/>
      <c r="H225" s="19">
        <f t="shared" si="13"/>
        <v>0</v>
      </c>
      <c r="I225" s="19" t="e">
        <f>((G225/C225)*100)-100</f>
        <v>#DIV/0!</v>
      </c>
      <c r="J225" s="19" t="e">
        <f t="shared" si="14"/>
        <v>#DIV/0!</v>
      </c>
      <c r="K225" s="13">
        <f t="shared" si="15"/>
        <v>0</v>
      </c>
      <c r="L225" s="170"/>
      <c r="M225" s="170"/>
      <c r="N225" s="170"/>
      <c r="O225" s="170"/>
      <c r="P225" s="170"/>
      <c r="Q225" s="170"/>
      <c r="R225" s="170"/>
      <c r="S225" s="170"/>
      <c r="T225" s="170"/>
      <c r="U225" s="170"/>
      <c r="V225" s="170"/>
      <c r="W225" s="170"/>
      <c r="X225" s="170"/>
      <c r="Y225" s="170"/>
      <c r="Z225" s="170"/>
      <c r="AA225" s="170"/>
      <c r="AB225" s="170"/>
      <c r="AC225" s="170"/>
      <c r="AD225" s="170"/>
      <c r="AE225" s="170"/>
    </row>
    <row r="226" spans="1:31" ht="79.900000000000006" customHeight="1" x14ac:dyDescent="0.2">
      <c r="A226" s="15"/>
      <c r="B226" s="16" t="s">
        <v>215</v>
      </c>
      <c r="C226" s="17"/>
      <c r="D226" s="17"/>
      <c r="E226" s="17">
        <f>189.926</f>
        <v>189.92599999999999</v>
      </c>
      <c r="F226" s="17">
        <v>189.92599999999999</v>
      </c>
      <c r="G226" s="17"/>
      <c r="H226" s="19">
        <f t="shared" si="13"/>
        <v>0</v>
      </c>
      <c r="I226" s="19"/>
      <c r="J226" s="19">
        <f t="shared" si="14"/>
        <v>0</v>
      </c>
      <c r="K226" s="13">
        <f t="shared" si="15"/>
        <v>-189.92599999999999</v>
      </c>
    </row>
    <row r="227" spans="1:31" s="24" customFormat="1" ht="99" customHeight="1" x14ac:dyDescent="0.2">
      <c r="A227" s="15"/>
      <c r="B227" s="22" t="s">
        <v>88</v>
      </c>
      <c r="C227" s="17"/>
      <c r="D227" s="99"/>
      <c r="E227" s="17">
        <v>22</v>
      </c>
      <c r="F227" s="17">
        <v>22</v>
      </c>
      <c r="G227" s="17"/>
      <c r="H227" s="19">
        <f t="shared" si="13"/>
        <v>0</v>
      </c>
      <c r="I227" s="19"/>
      <c r="J227" s="19">
        <f t="shared" si="14"/>
        <v>0</v>
      </c>
      <c r="K227" s="13">
        <f t="shared" si="15"/>
        <v>-22</v>
      </c>
      <c r="L227" s="170"/>
      <c r="M227" s="170"/>
      <c r="N227" s="170"/>
      <c r="O227" s="170"/>
      <c r="P227" s="170"/>
      <c r="Q227" s="170"/>
      <c r="R227" s="170"/>
      <c r="S227" s="170"/>
      <c r="T227" s="170"/>
      <c r="U227" s="170"/>
      <c r="V227" s="170"/>
      <c r="W227" s="170"/>
      <c r="X227" s="170"/>
      <c r="Y227" s="170"/>
      <c r="Z227" s="170"/>
      <c r="AA227" s="170"/>
      <c r="AB227" s="170"/>
      <c r="AC227" s="170"/>
      <c r="AD227" s="170"/>
      <c r="AE227" s="170"/>
    </row>
    <row r="228" spans="1:31" s="24" customFormat="1" ht="87" hidden="1" customHeight="1" x14ac:dyDescent="0.2">
      <c r="A228" s="15"/>
      <c r="B228" s="16" t="s">
        <v>51</v>
      </c>
      <c r="C228" s="17"/>
      <c r="D228" s="99"/>
      <c r="E228" s="17"/>
      <c r="F228" s="17"/>
      <c r="G228" s="17"/>
      <c r="H228" s="19">
        <f t="shared" si="13"/>
        <v>0</v>
      </c>
      <c r="I228" s="19" t="e">
        <f>((G228/C228)*100)-100</f>
        <v>#DIV/0!</v>
      </c>
      <c r="J228" s="19" t="e">
        <f t="shared" si="14"/>
        <v>#DIV/0!</v>
      </c>
      <c r="K228" s="13">
        <f t="shared" si="15"/>
        <v>0</v>
      </c>
      <c r="L228" s="170"/>
      <c r="M228" s="170"/>
      <c r="N228" s="170"/>
      <c r="O228" s="170"/>
      <c r="P228" s="170"/>
      <c r="Q228" s="170"/>
      <c r="R228" s="170"/>
      <c r="S228" s="170"/>
      <c r="T228" s="170"/>
      <c r="U228" s="170"/>
      <c r="V228" s="170"/>
      <c r="W228" s="170"/>
      <c r="X228" s="170"/>
      <c r="Y228" s="170"/>
      <c r="Z228" s="170"/>
      <c r="AA228" s="170"/>
      <c r="AB228" s="170"/>
      <c r="AC228" s="170"/>
      <c r="AD228" s="170"/>
      <c r="AE228" s="170"/>
    </row>
    <row r="229" spans="1:31" ht="38.25" customHeight="1" x14ac:dyDescent="0.2">
      <c r="A229" s="92" t="s">
        <v>99</v>
      </c>
      <c r="B229" s="127" t="s">
        <v>23</v>
      </c>
      <c r="C229" s="19">
        <v>270</v>
      </c>
      <c r="D229" s="19">
        <v>1236</v>
      </c>
      <c r="E229" s="19">
        <v>2286</v>
      </c>
      <c r="F229" s="19">
        <v>2106</v>
      </c>
      <c r="G229" s="19">
        <v>317.36655000000002</v>
      </c>
      <c r="H229" s="19">
        <f t="shared" si="13"/>
        <v>47.366550000000018</v>
      </c>
      <c r="I229" s="19">
        <f>((G229/C229)*100)-100</f>
        <v>17.543166666666664</v>
      </c>
      <c r="J229" s="19">
        <f t="shared" si="14"/>
        <v>13.883051181102363</v>
      </c>
      <c r="K229" s="13">
        <f t="shared" si="15"/>
        <v>-1968.63345</v>
      </c>
    </row>
    <row r="230" spans="1:31" ht="18.75" hidden="1" customHeight="1" x14ac:dyDescent="0.2">
      <c r="A230" s="92"/>
      <c r="B230" s="20" t="s">
        <v>3</v>
      </c>
      <c r="C230" s="19"/>
      <c r="D230" s="19"/>
      <c r="E230" s="19"/>
      <c r="F230" s="19"/>
      <c r="G230" s="19"/>
      <c r="H230" s="19">
        <f t="shared" si="13"/>
        <v>0</v>
      </c>
      <c r="I230" s="19" t="e">
        <f>((G230/C230)*100)-100</f>
        <v>#DIV/0!</v>
      </c>
      <c r="J230" s="19" t="e">
        <f t="shared" si="14"/>
        <v>#DIV/0!</v>
      </c>
      <c r="K230" s="13">
        <f t="shared" si="15"/>
        <v>0</v>
      </c>
    </row>
    <row r="231" spans="1:31" ht="82.5" hidden="1" customHeight="1" x14ac:dyDescent="0.2">
      <c r="A231" s="92"/>
      <c r="B231" s="16" t="s">
        <v>70</v>
      </c>
      <c r="C231" s="13"/>
      <c r="D231" s="13"/>
      <c r="E231" s="13"/>
      <c r="F231" s="13"/>
      <c r="G231" s="13"/>
      <c r="H231" s="19">
        <f t="shared" si="13"/>
        <v>0</v>
      </c>
      <c r="I231" s="19" t="e">
        <f>((G231/C231)*100)-100</f>
        <v>#DIV/0!</v>
      </c>
      <c r="J231" s="19" t="e">
        <f t="shared" si="14"/>
        <v>#DIV/0!</v>
      </c>
      <c r="K231" s="13">
        <f t="shared" si="15"/>
        <v>0</v>
      </c>
    </row>
    <row r="232" spans="1:31" s="24" customFormat="1" ht="49.5" customHeight="1" x14ac:dyDescent="0.2">
      <c r="A232" s="125" t="s">
        <v>100</v>
      </c>
      <c r="B232" s="124" t="s">
        <v>101</v>
      </c>
      <c r="C232" s="126">
        <v>47586.9</v>
      </c>
      <c r="D232" s="126">
        <v>284946</v>
      </c>
      <c r="E232" s="126">
        <f>282946.727-250</f>
        <v>282696.72700000001</v>
      </c>
      <c r="F232" s="126">
        <f>174959.573-250</f>
        <v>174709.573</v>
      </c>
      <c r="G232" s="126">
        <f>54901.3162299999-250</f>
        <v>54651.316229999997</v>
      </c>
      <c r="H232" s="19">
        <f t="shared" si="13"/>
        <v>7064.4162299999953</v>
      </c>
      <c r="I232" s="19">
        <f>((G232/C232)*100)-100</f>
        <v>14.845296142425738</v>
      </c>
      <c r="J232" s="19">
        <f t="shared" si="14"/>
        <v>19.332136176447488</v>
      </c>
      <c r="K232" s="13">
        <f t="shared" si="15"/>
        <v>-228045.41077000002</v>
      </c>
      <c r="L232" s="170"/>
      <c r="M232" s="170"/>
      <c r="N232" s="170"/>
      <c r="O232" s="170"/>
      <c r="P232" s="170"/>
      <c r="Q232" s="170"/>
      <c r="R232" s="170"/>
      <c r="S232" s="170"/>
      <c r="T232" s="170"/>
      <c r="U232" s="170"/>
      <c r="V232" s="170"/>
      <c r="W232" s="170"/>
      <c r="X232" s="170"/>
      <c r="Y232" s="170"/>
      <c r="Z232" s="170"/>
      <c r="AA232" s="170"/>
      <c r="AB232" s="170"/>
      <c r="AC232" s="170"/>
      <c r="AD232" s="170"/>
      <c r="AE232" s="170"/>
    </row>
    <row r="233" spans="1:31" s="24" customFormat="1" ht="24.75" customHeight="1" x14ac:dyDescent="0.2">
      <c r="A233" s="15"/>
      <c r="B233" s="20" t="s">
        <v>3</v>
      </c>
      <c r="C233" s="99"/>
      <c r="D233" s="99"/>
      <c r="E233" s="99"/>
      <c r="F233" s="99"/>
      <c r="G233" s="99"/>
      <c r="H233" s="19">
        <f t="shared" si="13"/>
        <v>0</v>
      </c>
      <c r="I233" s="19"/>
      <c r="J233" s="19"/>
      <c r="K233" s="13">
        <f t="shared" si="15"/>
        <v>0</v>
      </c>
      <c r="L233" s="170"/>
      <c r="M233" s="170"/>
      <c r="N233" s="170"/>
      <c r="O233" s="170"/>
      <c r="P233" s="170"/>
      <c r="Q233" s="170"/>
      <c r="R233" s="170"/>
      <c r="S233" s="170"/>
      <c r="T233" s="170"/>
      <c r="U233" s="170"/>
      <c r="V233" s="170"/>
      <c r="W233" s="170"/>
      <c r="X233" s="170"/>
      <c r="Y233" s="170"/>
      <c r="Z233" s="170"/>
      <c r="AA233" s="170"/>
      <c r="AB233" s="170"/>
      <c r="AC233" s="170"/>
      <c r="AD233" s="170"/>
      <c r="AE233" s="170"/>
    </row>
    <row r="234" spans="1:31" ht="105" customHeight="1" x14ac:dyDescent="0.2">
      <c r="A234" s="128"/>
      <c r="B234" s="16" t="s">
        <v>214</v>
      </c>
      <c r="C234" s="17">
        <v>28.3</v>
      </c>
      <c r="D234" s="17"/>
      <c r="E234" s="17">
        <v>77.010000000000005</v>
      </c>
      <c r="F234" s="17">
        <v>77.010000000000005</v>
      </c>
      <c r="G234" s="17"/>
      <c r="H234" s="19">
        <f t="shared" si="13"/>
        <v>-28.3</v>
      </c>
      <c r="I234" s="19">
        <f>((G234/C234)*100)-100</f>
        <v>-100</v>
      </c>
      <c r="J234" s="19">
        <f t="shared" si="14"/>
        <v>0</v>
      </c>
      <c r="K234" s="13">
        <f t="shared" si="15"/>
        <v>-77.010000000000005</v>
      </c>
    </row>
    <row r="235" spans="1:31" ht="79.900000000000006" customHeight="1" x14ac:dyDescent="0.2">
      <c r="A235" s="15"/>
      <c r="B235" s="16" t="s">
        <v>215</v>
      </c>
      <c r="C235" s="17">
        <v>19.600000000000001</v>
      </c>
      <c r="D235" s="17"/>
      <c r="E235" s="17">
        <v>1768.019</v>
      </c>
      <c r="F235" s="17">
        <v>1768.019</v>
      </c>
      <c r="G235" s="17">
        <v>28.1</v>
      </c>
      <c r="H235" s="19">
        <f t="shared" si="13"/>
        <v>8.5</v>
      </c>
      <c r="I235" s="19">
        <f>((G235/C235)*100)-100</f>
        <v>43.367346938775512</v>
      </c>
      <c r="J235" s="19">
        <f t="shared" si="14"/>
        <v>1.5893494357243898</v>
      </c>
      <c r="K235" s="13">
        <f t="shared" si="15"/>
        <v>-1739.9190000000001</v>
      </c>
    </row>
    <row r="236" spans="1:31" s="24" customFormat="1" ht="99" customHeight="1" x14ac:dyDescent="0.2">
      <c r="A236" s="128"/>
      <c r="B236" s="22" t="s">
        <v>88</v>
      </c>
      <c r="C236" s="17">
        <v>306.60000000000002</v>
      </c>
      <c r="D236" s="99"/>
      <c r="E236" s="17">
        <v>426.4</v>
      </c>
      <c r="F236" s="17">
        <v>426.4</v>
      </c>
      <c r="G236" s="17">
        <v>328.8</v>
      </c>
      <c r="H236" s="19">
        <f t="shared" si="13"/>
        <v>22.199999999999989</v>
      </c>
      <c r="I236" s="19">
        <f>((G236/C236)*100)-100</f>
        <v>7.2407045009784667</v>
      </c>
      <c r="J236" s="19">
        <f t="shared" si="14"/>
        <v>77.110694183864922</v>
      </c>
      <c r="K236" s="13">
        <f t="shared" si="15"/>
        <v>-97.599999999999966</v>
      </c>
      <c r="L236" s="170"/>
      <c r="M236" s="170"/>
      <c r="N236" s="170"/>
      <c r="O236" s="170"/>
      <c r="P236" s="170"/>
      <c r="Q236" s="170"/>
      <c r="R236" s="170"/>
      <c r="S236" s="170"/>
      <c r="T236" s="170"/>
      <c r="U236" s="170"/>
      <c r="V236" s="170"/>
      <c r="W236" s="170"/>
      <c r="X236" s="170"/>
      <c r="Y236" s="170"/>
      <c r="Z236" s="170"/>
      <c r="AA236" s="170"/>
      <c r="AB236" s="170"/>
      <c r="AC236" s="170"/>
      <c r="AD236" s="170"/>
      <c r="AE236" s="170"/>
    </row>
    <row r="237" spans="1:31" ht="38.25" customHeight="1" x14ac:dyDescent="0.2">
      <c r="A237" s="92" t="s">
        <v>122</v>
      </c>
      <c r="B237" s="129" t="s">
        <v>123</v>
      </c>
      <c r="C237" s="9">
        <v>92485</v>
      </c>
      <c r="D237" s="9">
        <v>619184</v>
      </c>
      <c r="E237" s="9">
        <f>631231.15063-481.63218-24128.66158-7806.19381</f>
        <v>598814.66306000017</v>
      </c>
      <c r="F237" s="9">
        <f>296577.84463-6306.19381-22737.66158-391.63218</f>
        <v>267142.35705999995</v>
      </c>
      <c r="G237" s="9">
        <f>39007.67178-2117.8932-1947.55748-120-269.02342</f>
        <v>34553.197679999997</v>
      </c>
      <c r="H237" s="19">
        <f t="shared" si="13"/>
        <v>-57931.802320000003</v>
      </c>
      <c r="I237" s="19">
        <f>((G237/C237)*100)-100</f>
        <v>-62.639133178353248</v>
      </c>
      <c r="J237" s="19">
        <f t="shared" si="14"/>
        <v>5.770265795334713</v>
      </c>
      <c r="K237" s="13">
        <f t="shared" si="15"/>
        <v>-564261.46538000018</v>
      </c>
    </row>
    <row r="238" spans="1:31" s="62" customFormat="1" ht="95.25" customHeight="1" x14ac:dyDescent="0.2">
      <c r="A238" s="130"/>
      <c r="B238" s="16" t="s">
        <v>215</v>
      </c>
      <c r="C238" s="131"/>
      <c r="D238" s="131"/>
      <c r="E238" s="131">
        <v>555.774</v>
      </c>
      <c r="F238" s="131">
        <v>555.774</v>
      </c>
      <c r="G238" s="111">
        <v>48.489899999999999</v>
      </c>
      <c r="H238" s="19">
        <f t="shared" si="13"/>
        <v>48.489899999999999</v>
      </c>
      <c r="I238" s="19"/>
      <c r="J238" s="19">
        <f t="shared" si="14"/>
        <v>8.724751427738612</v>
      </c>
      <c r="K238" s="13">
        <f t="shared" si="15"/>
        <v>-507.28410000000002</v>
      </c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A238" s="163"/>
      <c r="AB238" s="163"/>
      <c r="AC238" s="163"/>
      <c r="AD238" s="163"/>
      <c r="AE238" s="163"/>
    </row>
    <row r="239" spans="1:31" s="62" customFormat="1" ht="95.25" customHeight="1" x14ac:dyDescent="0.2">
      <c r="A239" s="130"/>
      <c r="B239" s="16" t="s">
        <v>275</v>
      </c>
      <c r="C239" s="131">
        <v>38.799999999999997</v>
      </c>
      <c r="D239" s="131"/>
      <c r="E239" s="131">
        <v>50</v>
      </c>
      <c r="F239" s="131">
        <v>50</v>
      </c>
      <c r="G239" s="111">
        <v>45</v>
      </c>
      <c r="H239" s="19">
        <f t="shared" si="13"/>
        <v>6.2000000000000028</v>
      </c>
      <c r="I239" s="19">
        <f>((G239/C239)*100)-100</f>
        <v>15.979381443298976</v>
      </c>
      <c r="J239" s="19">
        <f t="shared" si="14"/>
        <v>90</v>
      </c>
      <c r="K239" s="13">
        <f t="shared" si="15"/>
        <v>-5</v>
      </c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  <c r="AB239" s="163"/>
      <c r="AC239" s="163"/>
      <c r="AD239" s="163"/>
      <c r="AE239" s="163"/>
    </row>
    <row r="240" spans="1:31" s="63" customFormat="1" ht="95.25" customHeight="1" x14ac:dyDescent="0.2">
      <c r="A240" s="132" t="s">
        <v>242</v>
      </c>
      <c r="B240" s="133" t="s">
        <v>243</v>
      </c>
      <c r="C240" s="134"/>
      <c r="D240" s="134">
        <v>29600</v>
      </c>
      <c r="E240" s="134">
        <v>160715.20000000001</v>
      </c>
      <c r="F240" s="134">
        <v>160715.20000000001</v>
      </c>
      <c r="G240" s="1">
        <v>156715.20000000001</v>
      </c>
      <c r="H240" s="19">
        <f t="shared" si="13"/>
        <v>156715.20000000001</v>
      </c>
      <c r="I240" s="19"/>
      <c r="J240" s="19">
        <f t="shared" si="14"/>
        <v>97.511125270042911</v>
      </c>
      <c r="K240" s="13">
        <f t="shared" si="15"/>
        <v>-4000</v>
      </c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  <c r="Y240" s="166"/>
      <c r="Z240" s="166"/>
      <c r="AA240" s="166"/>
      <c r="AB240" s="166"/>
      <c r="AC240" s="166"/>
      <c r="AD240" s="166"/>
      <c r="AE240" s="166"/>
    </row>
    <row r="241" spans="1:31" ht="51" customHeight="1" x14ac:dyDescent="0.2">
      <c r="A241" s="8" t="s">
        <v>260</v>
      </c>
      <c r="B241" s="67" t="s">
        <v>124</v>
      </c>
      <c r="C241" s="19">
        <f>C243+C244+C245</f>
        <v>57196.800000000003</v>
      </c>
      <c r="D241" s="19">
        <v>139110</v>
      </c>
      <c r="E241" s="19">
        <v>164629.516</v>
      </c>
      <c r="F241" s="19">
        <v>106598.516</v>
      </c>
      <c r="G241" s="19">
        <v>76144.759950000007</v>
      </c>
      <c r="H241" s="19">
        <f t="shared" si="13"/>
        <v>18947.959950000004</v>
      </c>
      <c r="I241" s="19">
        <f>((G241/C241)*100)-100</f>
        <v>33.127657403910717</v>
      </c>
      <c r="J241" s="19">
        <f t="shared" si="14"/>
        <v>46.252192073504006</v>
      </c>
      <c r="K241" s="13">
        <f t="shared" si="15"/>
        <v>-88484.756049999996</v>
      </c>
    </row>
    <row r="242" spans="1:31" ht="22.5" customHeight="1" x14ac:dyDescent="0.2">
      <c r="A242" s="15"/>
      <c r="B242" s="18" t="s">
        <v>24</v>
      </c>
      <c r="C242" s="17"/>
      <c r="D242" s="17"/>
      <c r="E242" s="17"/>
      <c r="F242" s="17"/>
      <c r="G242" s="17"/>
      <c r="H242" s="19">
        <f t="shared" si="13"/>
        <v>0</v>
      </c>
      <c r="I242" s="19"/>
      <c r="J242" s="19"/>
      <c r="K242" s="13">
        <f t="shared" si="15"/>
        <v>0</v>
      </c>
    </row>
    <row r="243" spans="1:31" ht="54" customHeight="1" x14ac:dyDescent="0.2">
      <c r="A243" s="135">
        <v>7670</v>
      </c>
      <c r="B243" s="136" t="s">
        <v>102</v>
      </c>
      <c r="C243" s="13">
        <v>56594.9</v>
      </c>
      <c r="D243" s="13">
        <v>136000</v>
      </c>
      <c r="E243" s="13">
        <v>161476.6</v>
      </c>
      <c r="F243" s="13">
        <v>105105.60000000001</v>
      </c>
      <c r="G243" s="13">
        <v>75821.785000000003</v>
      </c>
      <c r="H243" s="19">
        <f t="shared" si="13"/>
        <v>19226.885000000002</v>
      </c>
      <c r="I243" s="19">
        <f>((G243/C243)*100)-100</f>
        <v>33.972822639495803</v>
      </c>
      <c r="J243" s="19">
        <f t="shared" si="14"/>
        <v>46.955277111358548</v>
      </c>
      <c r="K243" s="13">
        <f t="shared" si="15"/>
        <v>-85654.815000000002</v>
      </c>
    </row>
    <row r="244" spans="1:31" s="10" customFormat="1" ht="231" customHeight="1" x14ac:dyDescent="0.2">
      <c r="A244" s="11" t="s">
        <v>129</v>
      </c>
      <c r="B244" s="137" t="s">
        <v>130</v>
      </c>
      <c r="C244" s="96">
        <v>601.9</v>
      </c>
      <c r="D244" s="13">
        <v>3110</v>
      </c>
      <c r="E244" s="13">
        <v>3110</v>
      </c>
      <c r="F244" s="13">
        <v>650</v>
      </c>
      <c r="G244" s="96">
        <v>17.7</v>
      </c>
      <c r="H244" s="19">
        <f t="shared" si="13"/>
        <v>-584.19999999999993</v>
      </c>
      <c r="I244" s="19">
        <f>((G244/C244)*100)-100</f>
        <v>-97.059312178102672</v>
      </c>
      <c r="J244" s="19">
        <f t="shared" si="14"/>
        <v>0.56913183279742763</v>
      </c>
      <c r="K244" s="13">
        <f t="shared" si="15"/>
        <v>-3092.3</v>
      </c>
      <c r="L244" s="166"/>
      <c r="M244" s="166"/>
      <c r="N244" s="166"/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  <c r="Y244" s="166"/>
      <c r="Z244" s="166"/>
      <c r="AA244" s="166"/>
      <c r="AB244" s="166"/>
      <c r="AC244" s="166"/>
      <c r="AD244" s="166"/>
      <c r="AE244" s="166"/>
    </row>
    <row r="245" spans="1:31" s="10" customFormat="1" ht="41.25" customHeight="1" x14ac:dyDescent="0.2">
      <c r="A245" s="11" t="s">
        <v>178</v>
      </c>
      <c r="B245" s="137" t="s">
        <v>276</v>
      </c>
      <c r="C245" s="96"/>
      <c r="D245" s="13"/>
      <c r="E245" s="13">
        <v>42.915999999999997</v>
      </c>
      <c r="F245" s="13">
        <v>42.915999999999997</v>
      </c>
      <c r="G245" s="96"/>
      <c r="H245" s="19">
        <f t="shared" si="13"/>
        <v>0</v>
      </c>
      <c r="I245" s="19"/>
      <c r="J245" s="19">
        <f t="shared" si="14"/>
        <v>0</v>
      </c>
      <c r="K245" s="13">
        <f t="shared" si="15"/>
        <v>-42.915999999999997</v>
      </c>
      <c r="L245" s="166"/>
      <c r="M245" s="166"/>
      <c r="N245" s="166"/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166"/>
      <c r="Z245" s="166"/>
      <c r="AA245" s="166"/>
      <c r="AB245" s="166"/>
      <c r="AC245" s="166"/>
      <c r="AD245" s="166"/>
      <c r="AE245" s="166"/>
    </row>
    <row r="246" spans="1:31" s="63" customFormat="1" ht="37.9" customHeight="1" x14ac:dyDescent="0.2">
      <c r="A246" s="132" t="s">
        <v>244</v>
      </c>
      <c r="B246" s="138" t="s">
        <v>245</v>
      </c>
      <c r="C246" s="139"/>
      <c r="D246" s="134"/>
      <c r="E246" s="134">
        <v>38.5</v>
      </c>
      <c r="F246" s="139">
        <v>38.5</v>
      </c>
      <c r="G246" s="94">
        <v>38.436</v>
      </c>
      <c r="H246" s="19">
        <f t="shared" si="13"/>
        <v>38.436</v>
      </c>
      <c r="I246" s="19"/>
      <c r="J246" s="19">
        <f t="shared" si="14"/>
        <v>99.833766233766227</v>
      </c>
      <c r="K246" s="13">
        <f t="shared" si="15"/>
        <v>-6.4000000000000057E-2</v>
      </c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166"/>
      <c r="Z246" s="166"/>
      <c r="AA246" s="166"/>
      <c r="AB246" s="166"/>
      <c r="AC246" s="166"/>
      <c r="AD246" s="166"/>
      <c r="AE246" s="166"/>
    </row>
    <row r="247" spans="1:31" s="63" customFormat="1" ht="37.9" customHeight="1" x14ac:dyDescent="0.2">
      <c r="A247" s="132" t="s">
        <v>246</v>
      </c>
      <c r="B247" s="138" t="s">
        <v>247</v>
      </c>
      <c r="C247" s="139">
        <v>87.3</v>
      </c>
      <c r="D247" s="134">
        <v>30</v>
      </c>
      <c r="E247" s="134">
        <v>94.043000000000006</v>
      </c>
      <c r="F247" s="139">
        <v>94.043000000000006</v>
      </c>
      <c r="G247" s="94">
        <v>46.611919999999998</v>
      </c>
      <c r="H247" s="19">
        <f t="shared" si="13"/>
        <v>-40.688079999999999</v>
      </c>
      <c r="I247" s="19">
        <f>((G247/C247)*100)-100</f>
        <v>-46.60719358533791</v>
      </c>
      <c r="J247" s="19">
        <f t="shared" si="14"/>
        <v>49.564475824888611</v>
      </c>
      <c r="K247" s="13">
        <f t="shared" si="15"/>
        <v>-47.431080000000009</v>
      </c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  <c r="Y247" s="166"/>
      <c r="Z247" s="166"/>
      <c r="AA247" s="166"/>
      <c r="AB247" s="166"/>
      <c r="AC247" s="166"/>
      <c r="AD247" s="166"/>
      <c r="AE247" s="166"/>
    </row>
    <row r="248" spans="1:31" ht="42.75" customHeight="1" x14ac:dyDescent="0.2">
      <c r="A248" s="92" t="s">
        <v>125</v>
      </c>
      <c r="B248" s="129" t="s">
        <v>126</v>
      </c>
      <c r="C248" s="100"/>
      <c r="D248" s="9">
        <v>210</v>
      </c>
      <c r="E248" s="9">
        <f>5456.38256-5020-226.38256</f>
        <v>210</v>
      </c>
      <c r="F248" s="9">
        <f>5361.38256-226.38256-5020</f>
        <v>115</v>
      </c>
      <c r="G248" s="100">
        <f>744.00784-680.832-63.17584</f>
        <v>0</v>
      </c>
      <c r="H248" s="19">
        <f t="shared" si="13"/>
        <v>0</v>
      </c>
      <c r="I248" s="19"/>
      <c r="J248" s="19">
        <f t="shared" si="14"/>
        <v>0</v>
      </c>
      <c r="K248" s="13">
        <f t="shared" si="15"/>
        <v>-210</v>
      </c>
    </row>
    <row r="249" spans="1:31" ht="126.6" customHeight="1" x14ac:dyDescent="0.2">
      <c r="A249" s="92" t="s">
        <v>127</v>
      </c>
      <c r="B249" s="178" t="s">
        <v>128</v>
      </c>
      <c r="C249" s="100">
        <v>562</v>
      </c>
      <c r="D249" s="100">
        <v>7000</v>
      </c>
      <c r="E249" s="100">
        <f>19444.5-600</f>
        <v>18844.5</v>
      </c>
      <c r="F249" s="100">
        <f>19244.5-600</f>
        <v>18644.5</v>
      </c>
      <c r="G249" s="100">
        <f>8518-600</f>
        <v>7918</v>
      </c>
      <c r="H249" s="19">
        <f t="shared" si="13"/>
        <v>7356</v>
      </c>
      <c r="I249" s="19">
        <f>((G249/C249)*100)-100</f>
        <v>1308.8967971530249</v>
      </c>
      <c r="J249" s="19">
        <f t="shared" si="14"/>
        <v>42.017564806707526</v>
      </c>
      <c r="K249" s="13">
        <f t="shared" si="15"/>
        <v>-10926.5</v>
      </c>
    </row>
    <row r="250" spans="1:31" ht="21" customHeight="1" x14ac:dyDescent="0.2">
      <c r="A250" s="92"/>
      <c r="B250" s="70" t="s">
        <v>24</v>
      </c>
      <c r="C250" s="21"/>
      <c r="D250" s="65"/>
      <c r="E250" s="21"/>
      <c r="F250" s="21"/>
      <c r="G250" s="21"/>
      <c r="H250" s="19">
        <f t="shared" si="13"/>
        <v>0</v>
      </c>
      <c r="I250" s="19"/>
      <c r="J250" s="19"/>
      <c r="K250" s="13">
        <f t="shared" si="15"/>
        <v>0</v>
      </c>
    </row>
    <row r="251" spans="1:31" ht="76.5" customHeight="1" x14ac:dyDescent="0.2">
      <c r="A251" s="92"/>
      <c r="B251" s="140" t="s">
        <v>131</v>
      </c>
      <c r="C251" s="21">
        <v>400</v>
      </c>
      <c r="D251" s="111">
        <v>2000</v>
      </c>
      <c r="E251" s="111">
        <v>2000</v>
      </c>
      <c r="F251" s="21">
        <v>2000</v>
      </c>
      <c r="G251" s="141">
        <v>300</v>
      </c>
      <c r="H251" s="19">
        <f t="shared" si="13"/>
        <v>-100</v>
      </c>
      <c r="I251" s="19">
        <f>((G251/C251)*100)-100</f>
        <v>-25</v>
      </c>
      <c r="J251" s="19">
        <f t="shared" si="14"/>
        <v>15</v>
      </c>
      <c r="K251" s="13">
        <f t="shared" si="15"/>
        <v>-1700</v>
      </c>
    </row>
    <row r="252" spans="1:31" ht="76.5" customHeight="1" x14ac:dyDescent="0.2">
      <c r="A252" s="92"/>
      <c r="B252" s="140" t="s">
        <v>331</v>
      </c>
      <c r="C252" s="21">
        <v>150</v>
      </c>
      <c r="D252" s="111"/>
      <c r="E252" s="111"/>
      <c r="F252" s="21"/>
      <c r="G252" s="141"/>
      <c r="H252" s="19">
        <f t="shared" si="13"/>
        <v>-150</v>
      </c>
      <c r="I252" s="19">
        <f>((G252/C252)*100)-100</f>
        <v>-100</v>
      </c>
      <c r="J252" s="19"/>
      <c r="K252" s="13">
        <f t="shared" si="15"/>
        <v>0</v>
      </c>
    </row>
    <row r="253" spans="1:31" ht="42" customHeight="1" x14ac:dyDescent="0.2">
      <c r="A253" s="92"/>
      <c r="B253" s="140" t="s">
        <v>132</v>
      </c>
      <c r="C253" s="21"/>
      <c r="D253" s="111">
        <v>1000</v>
      </c>
      <c r="E253" s="111">
        <v>1000</v>
      </c>
      <c r="F253" s="142">
        <v>1000</v>
      </c>
      <c r="G253" s="141"/>
      <c r="H253" s="19">
        <f t="shared" si="13"/>
        <v>0</v>
      </c>
      <c r="I253" s="19"/>
      <c r="J253" s="19">
        <f t="shared" si="14"/>
        <v>0</v>
      </c>
      <c r="K253" s="13">
        <f t="shared" si="15"/>
        <v>-1000</v>
      </c>
    </row>
    <row r="254" spans="1:31" ht="80.25" customHeight="1" x14ac:dyDescent="0.2">
      <c r="A254" s="92"/>
      <c r="B254" s="140" t="s">
        <v>287</v>
      </c>
      <c r="C254" s="21"/>
      <c r="D254" s="111"/>
      <c r="E254" s="111">
        <v>400</v>
      </c>
      <c r="F254" s="142">
        <v>200</v>
      </c>
      <c r="G254" s="141">
        <v>200</v>
      </c>
      <c r="H254" s="19">
        <f t="shared" si="13"/>
        <v>200</v>
      </c>
      <c r="I254" s="19"/>
      <c r="J254" s="19">
        <f t="shared" si="14"/>
        <v>50</v>
      </c>
      <c r="K254" s="13">
        <f t="shared" si="15"/>
        <v>-200</v>
      </c>
    </row>
    <row r="255" spans="1:31" ht="59.25" customHeight="1" x14ac:dyDescent="0.2">
      <c r="A255" s="92"/>
      <c r="B255" s="140" t="s">
        <v>133</v>
      </c>
      <c r="C255" s="21"/>
      <c r="D255" s="111">
        <v>1000</v>
      </c>
      <c r="E255" s="111"/>
      <c r="F255" s="142"/>
      <c r="G255" s="141"/>
      <c r="H255" s="19">
        <f t="shared" si="13"/>
        <v>0</v>
      </c>
      <c r="I255" s="19"/>
      <c r="J255" s="19"/>
      <c r="K255" s="13">
        <f t="shared" si="15"/>
        <v>0</v>
      </c>
    </row>
    <row r="256" spans="1:31" ht="78.75" customHeight="1" x14ac:dyDescent="0.2">
      <c r="A256" s="92"/>
      <c r="B256" s="140" t="s">
        <v>284</v>
      </c>
      <c r="C256" s="21"/>
      <c r="D256" s="111"/>
      <c r="E256" s="111">
        <v>300</v>
      </c>
      <c r="F256" s="142">
        <v>300</v>
      </c>
      <c r="G256" s="141"/>
      <c r="H256" s="19">
        <f t="shared" si="13"/>
        <v>0</v>
      </c>
      <c r="I256" s="19"/>
      <c r="J256" s="19">
        <f t="shared" si="14"/>
        <v>0</v>
      </c>
      <c r="K256" s="13">
        <f t="shared" si="15"/>
        <v>-300</v>
      </c>
    </row>
    <row r="257" spans="1:31" ht="42" customHeight="1" x14ac:dyDescent="0.2">
      <c r="A257" s="92"/>
      <c r="B257" s="140" t="s">
        <v>134</v>
      </c>
      <c r="C257" s="21"/>
      <c r="D257" s="111">
        <v>2000</v>
      </c>
      <c r="E257" s="111">
        <v>2000</v>
      </c>
      <c r="F257" s="141">
        <v>2000</v>
      </c>
      <c r="G257" s="141">
        <v>1000</v>
      </c>
      <c r="H257" s="19">
        <f t="shared" si="13"/>
        <v>1000</v>
      </c>
      <c r="I257" s="19"/>
      <c r="J257" s="19">
        <f t="shared" si="14"/>
        <v>50</v>
      </c>
      <c r="K257" s="13">
        <f t="shared" si="15"/>
        <v>-1000</v>
      </c>
    </row>
    <row r="258" spans="1:31" ht="42" customHeight="1" x14ac:dyDescent="0.2">
      <c r="A258" s="92"/>
      <c r="B258" s="140" t="s">
        <v>135</v>
      </c>
      <c r="C258" s="21"/>
      <c r="D258" s="111">
        <v>1000</v>
      </c>
      <c r="E258" s="111">
        <v>1000</v>
      </c>
      <c r="F258" s="141">
        <v>1000</v>
      </c>
      <c r="G258" s="141"/>
      <c r="H258" s="19">
        <f t="shared" si="13"/>
        <v>0</v>
      </c>
      <c r="I258" s="19"/>
      <c r="J258" s="19">
        <f t="shared" si="14"/>
        <v>0</v>
      </c>
      <c r="K258" s="13">
        <f t="shared" si="15"/>
        <v>-1000</v>
      </c>
    </row>
    <row r="259" spans="1:31" ht="79.5" customHeight="1" x14ac:dyDescent="0.2">
      <c r="A259" s="92"/>
      <c r="B259" s="140" t="s">
        <v>261</v>
      </c>
      <c r="C259" s="21"/>
      <c r="D259" s="111"/>
      <c r="E259" s="111">
        <v>198</v>
      </c>
      <c r="F259" s="141">
        <v>198</v>
      </c>
      <c r="G259" s="141">
        <v>198</v>
      </c>
      <c r="H259" s="19">
        <f t="shared" si="13"/>
        <v>198</v>
      </c>
      <c r="I259" s="19"/>
      <c r="J259" s="19">
        <f t="shared" si="14"/>
        <v>100</v>
      </c>
      <c r="K259" s="13">
        <f t="shared" si="15"/>
        <v>0</v>
      </c>
    </row>
    <row r="260" spans="1:31" ht="114" customHeight="1" x14ac:dyDescent="0.2">
      <c r="A260" s="92"/>
      <c r="B260" s="140" t="s">
        <v>278</v>
      </c>
      <c r="C260" s="21"/>
      <c r="D260" s="111"/>
      <c r="E260" s="111">
        <v>1226.5</v>
      </c>
      <c r="F260" s="141">
        <v>1226.5</v>
      </c>
      <c r="G260" s="141"/>
      <c r="H260" s="19">
        <f t="shared" si="13"/>
        <v>0</v>
      </c>
      <c r="I260" s="19"/>
      <c r="J260" s="19">
        <f t="shared" si="14"/>
        <v>0</v>
      </c>
      <c r="K260" s="13">
        <f t="shared" si="15"/>
        <v>-1226.5</v>
      </c>
    </row>
    <row r="261" spans="1:31" ht="42.75" customHeight="1" x14ac:dyDescent="0.2">
      <c r="A261" s="92"/>
      <c r="B261" s="143" t="s">
        <v>262</v>
      </c>
      <c r="C261" s="21"/>
      <c r="D261" s="111"/>
      <c r="E261" s="111">
        <v>1000</v>
      </c>
      <c r="F261" s="111">
        <v>1000</v>
      </c>
      <c r="G261" s="111">
        <v>300</v>
      </c>
      <c r="H261" s="19">
        <f t="shared" si="13"/>
        <v>300</v>
      </c>
      <c r="I261" s="19"/>
      <c r="J261" s="19">
        <f t="shared" si="14"/>
        <v>30</v>
      </c>
      <c r="K261" s="13">
        <f t="shared" si="15"/>
        <v>-700</v>
      </c>
    </row>
    <row r="262" spans="1:31" ht="42.75" customHeight="1" x14ac:dyDescent="0.2">
      <c r="A262" s="92"/>
      <c r="B262" s="140" t="s">
        <v>279</v>
      </c>
      <c r="C262" s="21"/>
      <c r="D262" s="111"/>
      <c r="E262" s="111">
        <v>1000</v>
      </c>
      <c r="F262" s="111">
        <v>1000</v>
      </c>
      <c r="G262" s="111"/>
      <c r="H262" s="19">
        <f t="shared" si="13"/>
        <v>0</v>
      </c>
      <c r="I262" s="19"/>
      <c r="J262" s="19">
        <f t="shared" si="14"/>
        <v>0</v>
      </c>
      <c r="K262" s="13">
        <f t="shared" si="15"/>
        <v>-1000</v>
      </c>
    </row>
    <row r="263" spans="1:31" ht="42.75" customHeight="1" x14ac:dyDescent="0.2">
      <c r="A263" s="92"/>
      <c r="B263" s="140" t="s">
        <v>280</v>
      </c>
      <c r="C263" s="21"/>
      <c r="D263" s="111"/>
      <c r="E263" s="111">
        <v>600</v>
      </c>
      <c r="F263" s="111">
        <v>600</v>
      </c>
      <c r="G263" s="111"/>
      <c r="H263" s="19">
        <f t="shared" si="13"/>
        <v>0</v>
      </c>
      <c r="I263" s="19"/>
      <c r="J263" s="19">
        <f t="shared" si="14"/>
        <v>0</v>
      </c>
      <c r="K263" s="13">
        <f t="shared" si="15"/>
        <v>-600</v>
      </c>
    </row>
    <row r="264" spans="1:31" ht="42.75" customHeight="1" x14ac:dyDescent="0.2">
      <c r="A264" s="92"/>
      <c r="B264" s="140" t="s">
        <v>283</v>
      </c>
      <c r="C264" s="21"/>
      <c r="D264" s="111"/>
      <c r="E264" s="111">
        <v>800</v>
      </c>
      <c r="F264" s="111">
        <v>800</v>
      </c>
      <c r="G264" s="111"/>
      <c r="H264" s="19">
        <f t="shared" si="13"/>
        <v>0</v>
      </c>
      <c r="I264" s="19"/>
      <c r="J264" s="19">
        <f t="shared" si="14"/>
        <v>0</v>
      </c>
      <c r="K264" s="13">
        <f t="shared" si="15"/>
        <v>-800</v>
      </c>
    </row>
    <row r="265" spans="1:31" ht="42.75" customHeight="1" x14ac:dyDescent="0.2">
      <c r="A265" s="92"/>
      <c r="B265" s="140" t="s">
        <v>281</v>
      </c>
      <c r="C265" s="21"/>
      <c r="D265" s="111"/>
      <c r="E265" s="111">
        <v>1500</v>
      </c>
      <c r="F265" s="111">
        <v>1500</v>
      </c>
      <c r="G265" s="111">
        <v>1500</v>
      </c>
      <c r="H265" s="19">
        <f t="shared" si="13"/>
        <v>1500</v>
      </c>
      <c r="I265" s="19"/>
      <c r="J265" s="19">
        <f t="shared" si="14"/>
        <v>100</v>
      </c>
      <c r="K265" s="13">
        <f t="shared" si="15"/>
        <v>0</v>
      </c>
    </row>
    <row r="266" spans="1:31" ht="42.75" customHeight="1" x14ac:dyDescent="0.2">
      <c r="A266" s="92"/>
      <c r="B266" s="140" t="s">
        <v>282</v>
      </c>
      <c r="C266" s="21"/>
      <c r="D266" s="111"/>
      <c r="E266" s="111">
        <v>1000</v>
      </c>
      <c r="F266" s="111">
        <v>1000</v>
      </c>
      <c r="G266" s="111"/>
      <c r="H266" s="19">
        <f t="shared" si="13"/>
        <v>0</v>
      </c>
      <c r="I266" s="19"/>
      <c r="J266" s="19">
        <f t="shared" si="14"/>
        <v>0</v>
      </c>
      <c r="K266" s="13">
        <f t="shared" si="15"/>
        <v>-1000</v>
      </c>
    </row>
    <row r="267" spans="1:31" ht="87" customHeight="1" x14ac:dyDescent="0.2">
      <c r="A267" s="92"/>
      <c r="B267" s="140" t="s">
        <v>286</v>
      </c>
      <c r="C267" s="21"/>
      <c r="D267" s="111"/>
      <c r="E267" s="111">
        <v>4000</v>
      </c>
      <c r="F267" s="111">
        <v>4000</v>
      </c>
      <c r="G267" s="111">
        <v>4000</v>
      </c>
      <c r="H267" s="19">
        <f t="shared" si="13"/>
        <v>4000</v>
      </c>
      <c r="I267" s="19"/>
      <c r="J267" s="19">
        <f t="shared" si="14"/>
        <v>100</v>
      </c>
      <c r="K267" s="13">
        <f t="shared" si="15"/>
        <v>0</v>
      </c>
    </row>
    <row r="268" spans="1:31" ht="186" customHeight="1" x14ac:dyDescent="0.2">
      <c r="A268" s="92"/>
      <c r="B268" s="140" t="s">
        <v>285</v>
      </c>
      <c r="C268" s="21"/>
      <c r="D268" s="111"/>
      <c r="E268" s="111">
        <f>420</f>
        <v>420</v>
      </c>
      <c r="F268" s="111">
        <v>420</v>
      </c>
      <c r="G268" s="111">
        <v>420</v>
      </c>
      <c r="H268" s="19">
        <f t="shared" si="13"/>
        <v>420</v>
      </c>
      <c r="I268" s="19"/>
      <c r="J268" s="19">
        <f t="shared" si="14"/>
        <v>100</v>
      </c>
      <c r="K268" s="13">
        <f t="shared" si="15"/>
        <v>0</v>
      </c>
    </row>
    <row r="269" spans="1:31" ht="86.25" customHeight="1" x14ac:dyDescent="0.2">
      <c r="A269" s="92"/>
      <c r="B269" s="16" t="s">
        <v>215</v>
      </c>
      <c r="C269" s="21"/>
      <c r="D269" s="111"/>
      <c r="E269" s="111">
        <v>100</v>
      </c>
      <c r="F269" s="111">
        <v>100</v>
      </c>
      <c r="G269" s="111"/>
      <c r="H269" s="19">
        <f t="shared" si="13"/>
        <v>0</v>
      </c>
      <c r="I269" s="19"/>
      <c r="J269" s="19">
        <f t="shared" si="14"/>
        <v>0</v>
      </c>
      <c r="K269" s="13">
        <f t="shared" si="15"/>
        <v>-100</v>
      </c>
    </row>
    <row r="270" spans="1:31" ht="94.5" customHeight="1" x14ac:dyDescent="0.2">
      <c r="A270" s="92"/>
      <c r="B270" s="22" t="s">
        <v>88</v>
      </c>
      <c r="C270" s="21"/>
      <c r="D270" s="111"/>
      <c r="E270" s="111">
        <v>300</v>
      </c>
      <c r="F270" s="111">
        <v>300</v>
      </c>
      <c r="G270" s="111"/>
      <c r="H270" s="19">
        <f t="shared" si="13"/>
        <v>0</v>
      </c>
      <c r="I270" s="19"/>
      <c r="J270" s="19">
        <f t="shared" si="14"/>
        <v>0</v>
      </c>
      <c r="K270" s="13">
        <f t="shared" si="15"/>
        <v>-300</v>
      </c>
    </row>
    <row r="271" spans="1:31" ht="45.75" customHeight="1" x14ac:dyDescent="0.2">
      <c r="A271" s="92"/>
      <c r="B271" s="140" t="s">
        <v>136</v>
      </c>
      <c r="C271" s="21">
        <v>12</v>
      </c>
      <c r="D271" s="142"/>
      <c r="E271" s="142"/>
      <c r="F271" s="142"/>
      <c r="G271" s="21"/>
      <c r="H271" s="19">
        <f t="shared" si="13"/>
        <v>-12</v>
      </c>
      <c r="I271" s="19">
        <f>((G271/C271)*100)-100</f>
        <v>-100</v>
      </c>
      <c r="J271" s="19"/>
      <c r="K271" s="13">
        <f t="shared" si="15"/>
        <v>0</v>
      </c>
    </row>
    <row r="272" spans="1:31" s="10" customFormat="1" ht="87" customHeight="1" x14ac:dyDescent="0.2">
      <c r="A272" s="8" t="s">
        <v>188</v>
      </c>
      <c r="B272" s="144" t="s">
        <v>277</v>
      </c>
      <c r="C272" s="100"/>
      <c r="D272" s="145"/>
      <c r="E272" s="145">
        <v>500</v>
      </c>
      <c r="F272" s="145">
        <v>500</v>
      </c>
      <c r="G272" s="100">
        <v>50</v>
      </c>
      <c r="H272" s="19">
        <f t="shared" si="13"/>
        <v>50</v>
      </c>
      <c r="I272" s="19"/>
      <c r="J272" s="19">
        <f t="shared" si="14"/>
        <v>10</v>
      </c>
      <c r="K272" s="13">
        <f t="shared" si="15"/>
        <v>-450</v>
      </c>
      <c r="L272" s="166"/>
      <c r="M272" s="166"/>
      <c r="N272" s="166"/>
      <c r="O272" s="166"/>
      <c r="P272" s="166"/>
      <c r="Q272" s="166"/>
      <c r="R272" s="166"/>
      <c r="S272" s="166"/>
      <c r="T272" s="166"/>
      <c r="U272" s="166"/>
      <c r="V272" s="166"/>
      <c r="W272" s="166"/>
      <c r="X272" s="166"/>
      <c r="Y272" s="166"/>
      <c r="Z272" s="166"/>
      <c r="AA272" s="166"/>
      <c r="AB272" s="166"/>
      <c r="AC272" s="166"/>
      <c r="AD272" s="166"/>
      <c r="AE272" s="166"/>
    </row>
    <row r="273" spans="1:31" s="10" customFormat="1" ht="98.25" customHeight="1" x14ac:dyDescent="0.2">
      <c r="A273" s="8" t="s">
        <v>248</v>
      </c>
      <c r="B273" s="129" t="s">
        <v>251</v>
      </c>
      <c r="C273" s="100">
        <f>C274+C275</f>
        <v>-221.7</v>
      </c>
      <c r="D273" s="146">
        <v>1002</v>
      </c>
      <c r="E273" s="146">
        <f>E274+E275</f>
        <v>1882</v>
      </c>
      <c r="F273" s="146">
        <f>F274+F275</f>
        <v>1221</v>
      </c>
      <c r="G273" s="146">
        <f>G274+G275</f>
        <v>-174.1</v>
      </c>
      <c r="H273" s="19">
        <f t="shared" si="13"/>
        <v>47.599999999999994</v>
      </c>
      <c r="I273" s="19">
        <f>((G273/C273)*100)-100</f>
        <v>-21.470455570590886</v>
      </c>
      <c r="J273" s="19">
        <f t="shared" si="14"/>
        <v>-9.2507970244420825</v>
      </c>
      <c r="K273" s="13">
        <f t="shared" si="15"/>
        <v>-2056.1</v>
      </c>
      <c r="L273" s="166"/>
      <c r="M273" s="166"/>
      <c r="N273" s="166"/>
      <c r="O273" s="166"/>
      <c r="P273" s="166"/>
      <c r="Q273" s="166"/>
      <c r="R273" s="166"/>
      <c r="S273" s="166"/>
      <c r="T273" s="166"/>
      <c r="U273" s="166"/>
      <c r="V273" s="166"/>
      <c r="W273" s="166"/>
      <c r="X273" s="166"/>
      <c r="Y273" s="166"/>
      <c r="Z273" s="166"/>
      <c r="AA273" s="166"/>
      <c r="AB273" s="166"/>
      <c r="AC273" s="166"/>
      <c r="AD273" s="166"/>
      <c r="AE273" s="166"/>
    </row>
    <row r="274" spans="1:31" ht="99" customHeight="1" x14ac:dyDescent="0.2">
      <c r="A274" s="92"/>
      <c r="B274" s="25" t="s">
        <v>252</v>
      </c>
      <c r="C274" s="21"/>
      <c r="D274" s="17">
        <v>1382</v>
      </c>
      <c r="E274" s="17">
        <v>2262</v>
      </c>
      <c r="F274" s="17">
        <v>1435</v>
      </c>
      <c r="G274" s="21">
        <f>878.336-878.336</f>
        <v>0</v>
      </c>
      <c r="H274" s="19">
        <f t="shared" si="13"/>
        <v>0</v>
      </c>
      <c r="I274" s="19"/>
      <c r="J274" s="19">
        <f t="shared" si="14"/>
        <v>0</v>
      </c>
      <c r="K274" s="13">
        <f t="shared" si="15"/>
        <v>-2262</v>
      </c>
    </row>
    <row r="275" spans="1:31" ht="96.75" customHeight="1" x14ac:dyDescent="0.2">
      <c r="A275" s="92"/>
      <c r="B275" s="25" t="s">
        <v>253</v>
      </c>
      <c r="C275" s="96">
        <v>-221.7</v>
      </c>
      <c r="D275" s="17">
        <v>-380</v>
      </c>
      <c r="E275" s="17">
        <v>-380</v>
      </c>
      <c r="F275" s="17">
        <v>-214</v>
      </c>
      <c r="G275" s="96">
        <v>-174.1</v>
      </c>
      <c r="H275" s="19">
        <f t="shared" si="13"/>
        <v>47.599999999999994</v>
      </c>
      <c r="I275" s="19">
        <f>((G275/C275)*100)-100</f>
        <v>-21.470455570590886</v>
      </c>
      <c r="J275" s="19">
        <f t="shared" si="14"/>
        <v>45.815789473684212</v>
      </c>
      <c r="K275" s="13">
        <f t="shared" si="15"/>
        <v>205.9</v>
      </c>
    </row>
    <row r="276" spans="1:31" s="10" customFormat="1" ht="67.5" customHeight="1" x14ac:dyDescent="0.2">
      <c r="A276" s="8" t="s">
        <v>249</v>
      </c>
      <c r="B276" s="129" t="s">
        <v>254</v>
      </c>
      <c r="C276" s="100">
        <f>C277+C278</f>
        <v>0</v>
      </c>
      <c r="D276" s="9"/>
      <c r="E276" s="9"/>
      <c r="F276" s="9"/>
      <c r="G276" s="100"/>
      <c r="H276" s="19">
        <f t="shared" ref="H276:H339" si="16">G276-C276</f>
        <v>0</v>
      </c>
      <c r="I276" s="19"/>
      <c r="J276" s="19"/>
      <c r="K276" s="13">
        <f t="shared" ref="K276:K339" si="17">G276-E276</f>
        <v>0</v>
      </c>
      <c r="L276" s="166"/>
      <c r="M276" s="166"/>
      <c r="N276" s="166"/>
      <c r="O276" s="166"/>
      <c r="P276" s="166"/>
      <c r="Q276" s="166"/>
      <c r="R276" s="166"/>
      <c r="S276" s="166"/>
      <c r="T276" s="166"/>
      <c r="U276" s="166"/>
      <c r="V276" s="166"/>
      <c r="W276" s="166"/>
      <c r="X276" s="166"/>
      <c r="Y276" s="166"/>
      <c r="Z276" s="166"/>
      <c r="AA276" s="166"/>
      <c r="AB276" s="166"/>
      <c r="AC276" s="166"/>
      <c r="AD276" s="166"/>
      <c r="AE276" s="166"/>
    </row>
    <row r="277" spans="1:31" ht="67.5" customHeight="1" x14ac:dyDescent="0.2">
      <c r="A277" s="92"/>
      <c r="B277" s="25" t="s">
        <v>255</v>
      </c>
      <c r="C277" s="96">
        <v>10</v>
      </c>
      <c r="D277" s="17">
        <v>34</v>
      </c>
      <c r="E277" s="17">
        <v>34</v>
      </c>
      <c r="F277" s="17">
        <v>21</v>
      </c>
      <c r="G277" s="96"/>
      <c r="H277" s="19">
        <f t="shared" si="16"/>
        <v>-10</v>
      </c>
      <c r="I277" s="19">
        <f>((G277/C277)*100)-100</f>
        <v>-100</v>
      </c>
      <c r="J277" s="19">
        <f t="shared" ref="J277:J339" si="18">G277/E277*100</f>
        <v>0</v>
      </c>
      <c r="K277" s="13">
        <f t="shared" si="17"/>
        <v>-34</v>
      </c>
    </row>
    <row r="278" spans="1:31" ht="67.5" customHeight="1" x14ac:dyDescent="0.2">
      <c r="A278" s="92"/>
      <c r="B278" s="25" t="s">
        <v>256</v>
      </c>
      <c r="C278" s="96">
        <v>-10</v>
      </c>
      <c r="D278" s="17">
        <v>-34</v>
      </c>
      <c r="E278" s="17">
        <v>-34</v>
      </c>
      <c r="F278" s="17">
        <v>-21</v>
      </c>
      <c r="G278" s="96"/>
      <c r="H278" s="19">
        <f t="shared" si="16"/>
        <v>10</v>
      </c>
      <c r="I278" s="19">
        <f>((G278/C278)*100)-100</f>
        <v>-100</v>
      </c>
      <c r="J278" s="19">
        <f t="shared" si="18"/>
        <v>0</v>
      </c>
      <c r="K278" s="13">
        <f t="shared" si="17"/>
        <v>34</v>
      </c>
    </row>
    <row r="279" spans="1:31" s="10" customFormat="1" ht="81.75" customHeight="1" x14ac:dyDescent="0.2">
      <c r="A279" s="8" t="s">
        <v>250</v>
      </c>
      <c r="B279" s="129" t="s">
        <v>257</v>
      </c>
      <c r="C279" s="100">
        <f>C280+C281</f>
        <v>6089.8</v>
      </c>
      <c r="D279" s="9">
        <v>1500</v>
      </c>
      <c r="E279" s="9">
        <v>1500</v>
      </c>
      <c r="F279" s="9">
        <v>1500</v>
      </c>
      <c r="G279" s="100">
        <f>G280+G281</f>
        <v>0</v>
      </c>
      <c r="H279" s="19">
        <f t="shared" si="16"/>
        <v>-6089.8</v>
      </c>
      <c r="I279" s="19">
        <f>((G279/C279)*100)-100</f>
        <v>-100</v>
      </c>
      <c r="J279" s="19">
        <f t="shared" si="18"/>
        <v>0</v>
      </c>
      <c r="K279" s="13">
        <f t="shared" si="17"/>
        <v>-1500</v>
      </c>
      <c r="L279" s="166"/>
      <c r="M279" s="166"/>
      <c r="N279" s="166"/>
      <c r="O279" s="166"/>
      <c r="P279" s="166"/>
      <c r="Q279" s="166"/>
      <c r="R279" s="166"/>
      <c r="S279" s="166"/>
      <c r="T279" s="166"/>
      <c r="U279" s="166"/>
      <c r="V279" s="166"/>
      <c r="W279" s="166"/>
      <c r="X279" s="166"/>
      <c r="Y279" s="166"/>
      <c r="Z279" s="166"/>
      <c r="AA279" s="166"/>
      <c r="AB279" s="166"/>
      <c r="AC279" s="166"/>
      <c r="AD279" s="166"/>
      <c r="AE279" s="166"/>
    </row>
    <row r="280" spans="1:31" ht="78" customHeight="1" x14ac:dyDescent="0.2">
      <c r="A280" s="92"/>
      <c r="B280" s="25" t="s">
        <v>258</v>
      </c>
      <c r="C280" s="96">
        <v>6089.8</v>
      </c>
      <c r="D280" s="17">
        <v>9500</v>
      </c>
      <c r="E280" s="17">
        <v>9500</v>
      </c>
      <c r="F280" s="17">
        <v>9500</v>
      </c>
      <c r="G280" s="96"/>
      <c r="H280" s="19">
        <f t="shared" si="16"/>
        <v>-6089.8</v>
      </c>
      <c r="I280" s="19">
        <f>((G280/C280)*100)-100</f>
        <v>-100</v>
      </c>
      <c r="J280" s="19">
        <f t="shared" si="18"/>
        <v>0</v>
      </c>
      <c r="K280" s="13">
        <f t="shared" si="17"/>
        <v>-9500</v>
      </c>
    </row>
    <row r="281" spans="1:31" ht="78" customHeight="1" x14ac:dyDescent="0.2">
      <c r="A281" s="92"/>
      <c r="B281" s="25" t="s">
        <v>259</v>
      </c>
      <c r="C281" s="96"/>
      <c r="D281" s="17">
        <v>-8000</v>
      </c>
      <c r="E281" s="17">
        <v>-8000</v>
      </c>
      <c r="F281" s="17">
        <v>-8000</v>
      </c>
      <c r="G281" s="96"/>
      <c r="H281" s="19">
        <f t="shared" si="16"/>
        <v>0</v>
      </c>
      <c r="I281" s="19"/>
      <c r="J281" s="19">
        <f t="shared" si="18"/>
        <v>0</v>
      </c>
      <c r="K281" s="13">
        <f t="shared" si="17"/>
        <v>8000</v>
      </c>
    </row>
    <row r="282" spans="1:31" ht="62.25" customHeight="1" x14ac:dyDescent="0.2">
      <c r="A282" s="147" t="s">
        <v>111</v>
      </c>
      <c r="B282" s="25" t="s">
        <v>45</v>
      </c>
      <c r="C282" s="17">
        <v>29405.599999999999</v>
      </c>
      <c r="D282" s="17">
        <v>54889</v>
      </c>
      <c r="E282" s="17">
        <v>54889</v>
      </c>
      <c r="F282" s="17">
        <v>54889</v>
      </c>
      <c r="G282" s="17">
        <f>39914.4-51.8</f>
        <v>39862.6</v>
      </c>
      <c r="H282" s="19">
        <f t="shared" si="16"/>
        <v>10457</v>
      </c>
      <c r="I282" s="19">
        <f>((G282/C282)*100)-100</f>
        <v>35.561253638762679</v>
      </c>
      <c r="J282" s="19">
        <f t="shared" si="18"/>
        <v>72.624023028293465</v>
      </c>
      <c r="K282" s="13">
        <f t="shared" si="17"/>
        <v>-15026.400000000001</v>
      </c>
    </row>
    <row r="283" spans="1:31" ht="49.5" customHeight="1" x14ac:dyDescent="0.2">
      <c r="A283" s="15"/>
      <c r="B283" s="70" t="s">
        <v>46</v>
      </c>
      <c r="C283" s="19">
        <f>C211+C212+C213+C218+C222+C223+C229+C232+C237+C240+C241+C246+C247+C248+C249+C273+C276+C279+C282+C272</f>
        <v>256251.09999999995</v>
      </c>
      <c r="D283" s="19">
        <f>D211+D212+D213+D218+D222+D223+D229+D232+D237+D240+D241+D246+D247+D248+D249+D273+D276+D279+D282+D272</f>
        <v>1253316</v>
      </c>
      <c r="E283" s="19">
        <f>E211+E212+E213+E218+E222+E223+E229+E232+E237+E240+E241+E246+E247+E248+E249+E273+E276+E279+E282+E272</f>
        <v>1422989.0044300002</v>
      </c>
      <c r="F283" s="19">
        <f>F211+F212+F213+F218+F222+F223+F229+F232+F237+F240+F241+F246+F247+F248+F249+F273+F276+F279+F282+F272</f>
        <v>893695.04342999996</v>
      </c>
      <c r="G283" s="19">
        <f>G211+G212+G213+G218+G222+G223+G229+G232+G237+G240+G241+G246+G247+G248+G249+G273+G276+G279+G282+G272</f>
        <v>406609.80141999997</v>
      </c>
      <c r="H283" s="19">
        <f t="shared" si="16"/>
        <v>150358.70142000003</v>
      </c>
      <c r="I283" s="19">
        <f>((G283/C283)*100)-100</f>
        <v>58.676314528991327</v>
      </c>
      <c r="J283" s="19">
        <f t="shared" si="18"/>
        <v>28.574345982587101</v>
      </c>
      <c r="K283" s="13">
        <f t="shared" si="17"/>
        <v>-1016379.2030100003</v>
      </c>
      <c r="L283" s="164"/>
      <c r="M283" s="173">
        <v>1422989.00443</v>
      </c>
      <c r="N283" s="174">
        <v>893695.04342999996</v>
      </c>
      <c r="O283" s="175"/>
    </row>
    <row r="284" spans="1:31" ht="58.5" customHeight="1" x14ac:dyDescent="0.2">
      <c r="A284" s="15" t="s">
        <v>47</v>
      </c>
      <c r="B284" s="70" t="s">
        <v>48</v>
      </c>
      <c r="C284" s="19">
        <f>SUM(C285:C339)</f>
        <v>5617.5999999999985</v>
      </c>
      <c r="D284" s="19">
        <f>SUM(D285:D339)</f>
        <v>0</v>
      </c>
      <c r="E284" s="19">
        <f>SUM(E285:E339)</f>
        <v>43008.725310000002</v>
      </c>
      <c r="F284" s="19">
        <f>SUM(F285:F339)</f>
        <v>39367.025309999997</v>
      </c>
      <c r="G284" s="19">
        <f>SUM(G285:G339)</f>
        <v>6297.3176899999999</v>
      </c>
      <c r="H284" s="19">
        <f t="shared" si="16"/>
        <v>679.71769000000131</v>
      </c>
      <c r="I284" s="19">
        <f>((G284/C284)*100)-100</f>
        <v>12.099787987752791</v>
      </c>
      <c r="J284" s="19">
        <f t="shared" si="18"/>
        <v>14.641953800327592</v>
      </c>
      <c r="K284" s="13">
        <f t="shared" si="17"/>
        <v>-36711.407619999998</v>
      </c>
      <c r="M284" s="173">
        <f>E283-M283</f>
        <v>0</v>
      </c>
      <c r="N284" s="173">
        <f>F283-N283</f>
        <v>0</v>
      </c>
      <c r="O284" s="175"/>
    </row>
    <row r="285" spans="1:31" s="46" customFormat="1" ht="66" customHeight="1" x14ac:dyDescent="0.2">
      <c r="A285" s="148" t="s">
        <v>148</v>
      </c>
      <c r="B285" s="143" t="s">
        <v>140</v>
      </c>
      <c r="C285" s="96">
        <v>22</v>
      </c>
      <c r="D285" s="96"/>
      <c r="E285" s="149"/>
      <c r="F285" s="149"/>
      <c r="G285" s="96"/>
      <c r="H285" s="19">
        <f t="shared" si="16"/>
        <v>-22</v>
      </c>
      <c r="I285" s="19">
        <f>((G285/C285)*100)-100</f>
        <v>-100</v>
      </c>
      <c r="J285" s="19"/>
      <c r="K285" s="13">
        <f t="shared" si="17"/>
        <v>0</v>
      </c>
      <c r="L285" s="176"/>
      <c r="M285" s="177">
        <v>43008.725310000002</v>
      </c>
      <c r="N285" s="177">
        <v>39367.025309999997</v>
      </c>
      <c r="O285" s="177">
        <v>6297.3176899999999</v>
      </c>
      <c r="P285" s="176"/>
      <c r="Q285" s="176"/>
      <c r="R285" s="176"/>
      <c r="S285" s="176"/>
      <c r="T285" s="176"/>
      <c r="U285" s="176"/>
      <c r="V285" s="176"/>
      <c r="W285" s="176"/>
      <c r="X285" s="176"/>
      <c r="Y285" s="176"/>
      <c r="Z285" s="176"/>
      <c r="AA285" s="176"/>
      <c r="AB285" s="176"/>
      <c r="AC285" s="176"/>
      <c r="AD285" s="176"/>
      <c r="AE285" s="176"/>
    </row>
    <row r="286" spans="1:31" s="46" customFormat="1" ht="66" customHeight="1" x14ac:dyDescent="0.2">
      <c r="A286" s="148"/>
      <c r="B286" s="150" t="s">
        <v>332</v>
      </c>
      <c r="C286" s="96"/>
      <c r="D286" s="96"/>
      <c r="E286" s="149">
        <v>18</v>
      </c>
      <c r="F286" s="149">
        <v>18</v>
      </c>
      <c r="G286" s="96">
        <v>18</v>
      </c>
      <c r="H286" s="19">
        <f t="shared" si="16"/>
        <v>18</v>
      </c>
      <c r="I286" s="19"/>
      <c r="J286" s="19">
        <f t="shared" si="18"/>
        <v>100</v>
      </c>
      <c r="K286" s="13">
        <f t="shared" si="17"/>
        <v>0</v>
      </c>
      <c r="L286" s="176"/>
      <c r="M286" s="177"/>
      <c r="N286" s="177"/>
      <c r="O286" s="177"/>
      <c r="P286" s="176"/>
      <c r="Q286" s="176"/>
      <c r="R286" s="176"/>
      <c r="S286" s="176"/>
      <c r="T286" s="176"/>
      <c r="U286" s="176"/>
      <c r="V286" s="176"/>
      <c r="W286" s="176"/>
      <c r="X286" s="176"/>
      <c r="Y286" s="176"/>
      <c r="Z286" s="176"/>
      <c r="AA286" s="176"/>
      <c r="AB286" s="176"/>
      <c r="AC286" s="176"/>
      <c r="AD286" s="176"/>
      <c r="AE286" s="176"/>
    </row>
    <row r="287" spans="1:31" s="46" customFormat="1" ht="66" customHeight="1" x14ac:dyDescent="0.2">
      <c r="A287" s="148"/>
      <c r="B287" s="143" t="s">
        <v>333</v>
      </c>
      <c r="C287" s="96">
        <v>12.5</v>
      </c>
      <c r="D287" s="96"/>
      <c r="E287" s="149"/>
      <c r="F287" s="149"/>
      <c r="G287" s="96"/>
      <c r="H287" s="19">
        <f t="shared" si="16"/>
        <v>-12.5</v>
      </c>
      <c r="I287" s="19">
        <f>((G287/C287)*100)-100</f>
        <v>-100</v>
      </c>
      <c r="J287" s="19"/>
      <c r="K287" s="13">
        <f t="shared" si="17"/>
        <v>0</v>
      </c>
      <c r="L287" s="176"/>
      <c r="M287" s="177"/>
      <c r="N287" s="177"/>
      <c r="O287" s="177"/>
      <c r="P287" s="176"/>
      <c r="Q287" s="176"/>
      <c r="R287" s="176"/>
      <c r="S287" s="176"/>
      <c r="T287" s="176"/>
      <c r="U287" s="176"/>
      <c r="V287" s="176"/>
      <c r="W287" s="176"/>
      <c r="X287" s="176"/>
      <c r="Y287" s="176"/>
      <c r="Z287" s="176"/>
      <c r="AA287" s="176"/>
      <c r="AB287" s="176"/>
      <c r="AC287" s="176"/>
      <c r="AD287" s="176"/>
      <c r="AE287" s="176"/>
    </row>
    <row r="288" spans="1:31" s="24" customFormat="1" ht="83.25" customHeight="1" x14ac:dyDescent="0.2">
      <c r="A288" s="148" t="s">
        <v>148</v>
      </c>
      <c r="B288" s="143" t="s">
        <v>141</v>
      </c>
      <c r="C288" s="99"/>
      <c r="D288" s="99"/>
      <c r="E288" s="149">
        <v>195.08992000000001</v>
      </c>
      <c r="F288" s="149">
        <v>195.08992000000001</v>
      </c>
      <c r="G288" s="99">
        <v>181.0778</v>
      </c>
      <c r="H288" s="19">
        <f t="shared" si="16"/>
        <v>181.0778</v>
      </c>
      <c r="I288" s="19"/>
      <c r="J288" s="19">
        <f t="shared" si="18"/>
        <v>92.817609438765459</v>
      </c>
      <c r="K288" s="13">
        <f t="shared" si="17"/>
        <v>-14.01212000000001</v>
      </c>
      <c r="L288" s="170"/>
      <c r="M288" s="170"/>
      <c r="N288" s="170"/>
      <c r="O288" s="170"/>
      <c r="P288" s="170"/>
      <c r="Q288" s="170"/>
      <c r="R288" s="170"/>
      <c r="S288" s="170"/>
      <c r="T288" s="170"/>
      <c r="U288" s="170"/>
      <c r="V288" s="170"/>
      <c r="W288" s="170"/>
      <c r="X288" s="170"/>
      <c r="Y288" s="170"/>
      <c r="Z288" s="170"/>
      <c r="AA288" s="170"/>
      <c r="AB288" s="170"/>
      <c r="AC288" s="170"/>
      <c r="AD288" s="170"/>
      <c r="AE288" s="170"/>
    </row>
    <row r="289" spans="1:31" s="24" customFormat="1" ht="69" customHeight="1" x14ac:dyDescent="0.2">
      <c r="A289" s="148" t="s">
        <v>148</v>
      </c>
      <c r="B289" s="151" t="s">
        <v>288</v>
      </c>
      <c r="C289" s="99"/>
      <c r="D289" s="99"/>
      <c r="E289" s="149">
        <v>178.2</v>
      </c>
      <c r="F289" s="149">
        <v>89.1</v>
      </c>
      <c r="G289" s="99"/>
      <c r="H289" s="19">
        <f t="shared" si="16"/>
        <v>0</v>
      </c>
      <c r="I289" s="19"/>
      <c r="J289" s="19">
        <f t="shared" si="18"/>
        <v>0</v>
      </c>
      <c r="K289" s="13">
        <f t="shared" si="17"/>
        <v>-178.2</v>
      </c>
      <c r="L289" s="170"/>
      <c r="M289" s="170"/>
      <c r="N289" s="170"/>
      <c r="O289" s="170"/>
      <c r="P289" s="170"/>
      <c r="Q289" s="170"/>
      <c r="R289" s="170"/>
      <c r="S289" s="170"/>
      <c r="T289" s="170"/>
      <c r="U289" s="170"/>
      <c r="V289" s="170"/>
      <c r="W289" s="170"/>
      <c r="X289" s="170"/>
      <c r="Y289" s="170"/>
      <c r="Z289" s="170"/>
      <c r="AA289" s="170"/>
      <c r="AB289" s="170"/>
      <c r="AC289" s="170"/>
      <c r="AD289" s="170"/>
      <c r="AE289" s="170"/>
    </row>
    <row r="290" spans="1:31" s="24" customFormat="1" ht="162" customHeight="1" x14ac:dyDescent="0.2">
      <c r="A290" s="148" t="s">
        <v>104</v>
      </c>
      <c r="B290" s="143" t="s">
        <v>334</v>
      </c>
      <c r="C290" s="99">
        <v>265.39999999999998</v>
      </c>
      <c r="D290" s="99"/>
      <c r="E290" s="149"/>
      <c r="F290" s="149"/>
      <c r="G290" s="99"/>
      <c r="H290" s="19">
        <f t="shared" si="16"/>
        <v>-265.39999999999998</v>
      </c>
      <c r="I290" s="19">
        <f>((G290/C290)*100)-100</f>
        <v>-100</v>
      </c>
      <c r="J290" s="19"/>
      <c r="K290" s="13">
        <f t="shared" si="17"/>
        <v>0</v>
      </c>
      <c r="L290" s="170"/>
      <c r="M290" s="170"/>
      <c r="N290" s="170"/>
      <c r="O290" s="170"/>
      <c r="P290" s="170"/>
      <c r="Q290" s="170"/>
      <c r="R290" s="170"/>
      <c r="S290" s="170"/>
      <c r="T290" s="170"/>
      <c r="U290" s="170"/>
      <c r="V290" s="170"/>
      <c r="W290" s="170"/>
      <c r="X290" s="170"/>
      <c r="Y290" s="170"/>
      <c r="Z290" s="170"/>
      <c r="AA290" s="170"/>
      <c r="AB290" s="170"/>
      <c r="AC290" s="170"/>
      <c r="AD290" s="170"/>
      <c r="AE290" s="170"/>
    </row>
    <row r="291" spans="1:31" s="24" customFormat="1" ht="61.5" customHeight="1" x14ac:dyDescent="0.2">
      <c r="A291" s="148" t="s">
        <v>104</v>
      </c>
      <c r="B291" s="152" t="s">
        <v>335</v>
      </c>
      <c r="C291" s="99">
        <v>690.6</v>
      </c>
      <c r="D291" s="99"/>
      <c r="E291" s="149"/>
      <c r="F291" s="149"/>
      <c r="G291" s="99"/>
      <c r="H291" s="19">
        <f t="shared" si="16"/>
        <v>-690.6</v>
      </c>
      <c r="I291" s="19">
        <f>((G291/C291)*100)-100</f>
        <v>-100</v>
      </c>
      <c r="J291" s="19"/>
      <c r="K291" s="13">
        <f t="shared" si="17"/>
        <v>0</v>
      </c>
      <c r="L291" s="170"/>
      <c r="M291" s="170"/>
      <c r="N291" s="170"/>
      <c r="O291" s="170"/>
      <c r="P291" s="170"/>
      <c r="Q291" s="170"/>
      <c r="R291" s="170"/>
      <c r="S291" s="170"/>
      <c r="T291" s="170"/>
      <c r="U291" s="170"/>
      <c r="V291" s="170"/>
      <c r="W291" s="170"/>
      <c r="X291" s="170"/>
      <c r="Y291" s="170"/>
      <c r="Z291" s="170"/>
      <c r="AA291" s="170"/>
      <c r="AB291" s="170"/>
      <c r="AC291" s="170"/>
      <c r="AD291" s="170"/>
      <c r="AE291" s="170"/>
    </row>
    <row r="292" spans="1:31" ht="72.75" customHeight="1" x14ac:dyDescent="0.2">
      <c r="A292" s="148" t="s">
        <v>104</v>
      </c>
      <c r="B292" s="153" t="s">
        <v>263</v>
      </c>
      <c r="C292" s="13"/>
      <c r="D292" s="142"/>
      <c r="E292" s="111">
        <v>1200</v>
      </c>
      <c r="F292" s="111">
        <v>1200</v>
      </c>
      <c r="G292" s="13">
        <v>17.832000000000001</v>
      </c>
      <c r="H292" s="19">
        <f t="shared" si="16"/>
        <v>17.832000000000001</v>
      </c>
      <c r="I292" s="19"/>
      <c r="J292" s="19">
        <f t="shared" si="18"/>
        <v>1.486</v>
      </c>
      <c r="K292" s="13">
        <f t="shared" si="17"/>
        <v>-1182.1679999999999</v>
      </c>
    </row>
    <row r="293" spans="1:31" ht="72.75" customHeight="1" x14ac:dyDescent="0.2">
      <c r="A293" s="148" t="s">
        <v>104</v>
      </c>
      <c r="B293" s="153" t="s">
        <v>289</v>
      </c>
      <c r="C293" s="13"/>
      <c r="D293" s="142"/>
      <c r="E293" s="111">
        <v>41.2</v>
      </c>
      <c r="F293" s="111">
        <v>41.2</v>
      </c>
      <c r="G293" s="13"/>
      <c r="H293" s="19">
        <f t="shared" si="16"/>
        <v>0</v>
      </c>
      <c r="I293" s="19"/>
      <c r="J293" s="19">
        <f t="shared" si="18"/>
        <v>0</v>
      </c>
      <c r="K293" s="13">
        <f t="shared" si="17"/>
        <v>-41.2</v>
      </c>
    </row>
    <row r="294" spans="1:31" ht="72.75" customHeight="1" x14ac:dyDescent="0.2">
      <c r="A294" s="148" t="s">
        <v>104</v>
      </c>
      <c r="B294" s="143" t="s">
        <v>336</v>
      </c>
      <c r="C294" s="13">
        <v>71.099999999999994</v>
      </c>
      <c r="D294" s="142"/>
      <c r="E294" s="111"/>
      <c r="F294" s="111"/>
      <c r="G294" s="13"/>
      <c r="H294" s="19">
        <f t="shared" si="16"/>
        <v>-71.099999999999994</v>
      </c>
      <c r="I294" s="19">
        <f>((G294/C294)*100)-100</f>
        <v>-100</v>
      </c>
      <c r="J294" s="19"/>
      <c r="K294" s="13">
        <f t="shared" si="17"/>
        <v>0</v>
      </c>
    </row>
    <row r="295" spans="1:31" ht="85.5" customHeight="1" x14ac:dyDescent="0.2">
      <c r="A295" s="148" t="s">
        <v>104</v>
      </c>
      <c r="B295" s="153" t="s">
        <v>290</v>
      </c>
      <c r="C295" s="13"/>
      <c r="D295" s="142"/>
      <c r="E295" s="111">
        <v>199.58699999999999</v>
      </c>
      <c r="F295" s="111">
        <v>199.58699999999999</v>
      </c>
      <c r="G295" s="13"/>
      <c r="H295" s="19">
        <f t="shared" si="16"/>
        <v>0</v>
      </c>
      <c r="I295" s="19"/>
      <c r="J295" s="19">
        <f t="shared" si="18"/>
        <v>0</v>
      </c>
      <c r="K295" s="13">
        <f t="shared" si="17"/>
        <v>-199.58699999999999</v>
      </c>
    </row>
    <row r="296" spans="1:31" ht="72.75" customHeight="1" x14ac:dyDescent="0.2">
      <c r="A296" s="148" t="s">
        <v>104</v>
      </c>
      <c r="B296" s="143" t="s">
        <v>337</v>
      </c>
      <c r="C296" s="13">
        <v>40</v>
      </c>
      <c r="D296" s="142"/>
      <c r="E296" s="111"/>
      <c r="F296" s="111"/>
      <c r="G296" s="13"/>
      <c r="H296" s="19">
        <f t="shared" si="16"/>
        <v>-40</v>
      </c>
      <c r="I296" s="19">
        <f>((G296/C296)*100)-100</f>
        <v>-100</v>
      </c>
      <c r="J296" s="19"/>
      <c r="K296" s="13">
        <f t="shared" si="17"/>
        <v>0</v>
      </c>
    </row>
    <row r="297" spans="1:31" s="14" customFormat="1" ht="72.75" customHeight="1" x14ac:dyDescent="0.2">
      <c r="A297" s="148" t="s">
        <v>104</v>
      </c>
      <c r="B297" s="154" t="s">
        <v>264</v>
      </c>
      <c r="C297" s="13"/>
      <c r="D297" s="142"/>
      <c r="E297" s="111">
        <v>150</v>
      </c>
      <c r="F297" s="111">
        <v>150</v>
      </c>
      <c r="G297" s="13">
        <v>133.72</v>
      </c>
      <c r="H297" s="19">
        <f t="shared" si="16"/>
        <v>133.72</v>
      </c>
      <c r="I297" s="19"/>
      <c r="J297" s="19">
        <f t="shared" si="18"/>
        <v>89.146666666666661</v>
      </c>
      <c r="K297" s="13">
        <f t="shared" si="17"/>
        <v>-16.28</v>
      </c>
      <c r="L297" s="168"/>
      <c r="M297" s="168"/>
      <c r="N297" s="168"/>
      <c r="O297" s="168"/>
      <c r="P297" s="168"/>
      <c r="Q297" s="168"/>
      <c r="R297" s="168"/>
      <c r="S297" s="168"/>
      <c r="T297" s="168"/>
      <c r="U297" s="168"/>
      <c r="V297" s="168"/>
      <c r="W297" s="168"/>
      <c r="X297" s="168"/>
      <c r="Y297" s="168"/>
      <c r="Z297" s="168"/>
      <c r="AA297" s="168"/>
      <c r="AB297" s="168"/>
      <c r="AC297" s="168"/>
      <c r="AD297" s="168"/>
      <c r="AE297" s="168"/>
    </row>
    <row r="298" spans="1:31" s="14" customFormat="1" ht="99" customHeight="1" x14ac:dyDescent="0.2">
      <c r="A298" s="148" t="s">
        <v>104</v>
      </c>
      <c r="B298" s="143" t="s">
        <v>338</v>
      </c>
      <c r="C298" s="13">
        <v>70</v>
      </c>
      <c r="D298" s="142"/>
      <c r="E298" s="111"/>
      <c r="F298" s="111"/>
      <c r="G298" s="13"/>
      <c r="H298" s="19">
        <f t="shared" si="16"/>
        <v>-70</v>
      </c>
      <c r="I298" s="19">
        <f>((G298/C298)*100)-100</f>
        <v>-100</v>
      </c>
      <c r="J298" s="19"/>
      <c r="K298" s="13">
        <f t="shared" si="17"/>
        <v>0</v>
      </c>
      <c r="L298" s="168"/>
      <c r="M298" s="168"/>
      <c r="N298" s="168"/>
      <c r="O298" s="168"/>
      <c r="P298" s="168"/>
      <c r="Q298" s="168"/>
      <c r="R298" s="168"/>
      <c r="S298" s="168"/>
      <c r="T298" s="168"/>
      <c r="U298" s="168"/>
      <c r="V298" s="168"/>
      <c r="W298" s="168"/>
      <c r="X298" s="168"/>
      <c r="Y298" s="168"/>
      <c r="Z298" s="168"/>
      <c r="AA298" s="168"/>
      <c r="AB298" s="168"/>
      <c r="AC298" s="168"/>
      <c r="AD298" s="168"/>
      <c r="AE298" s="168"/>
    </row>
    <row r="299" spans="1:31" s="14" customFormat="1" ht="72.75" customHeight="1" x14ac:dyDescent="0.2">
      <c r="A299" s="148" t="s">
        <v>104</v>
      </c>
      <c r="B299" s="151" t="s">
        <v>291</v>
      </c>
      <c r="C299" s="13"/>
      <c r="D299" s="142"/>
      <c r="E299" s="111">
        <v>342.3</v>
      </c>
      <c r="F299" s="111">
        <v>109.3</v>
      </c>
      <c r="G299" s="13"/>
      <c r="H299" s="19">
        <f t="shared" si="16"/>
        <v>0</v>
      </c>
      <c r="I299" s="19"/>
      <c r="J299" s="19">
        <f t="shared" si="18"/>
        <v>0</v>
      </c>
      <c r="K299" s="13">
        <f t="shared" si="17"/>
        <v>-342.3</v>
      </c>
      <c r="L299" s="168"/>
      <c r="M299" s="168"/>
      <c r="N299" s="168"/>
      <c r="O299" s="168"/>
      <c r="P299" s="168"/>
      <c r="Q299" s="168"/>
      <c r="R299" s="168"/>
      <c r="S299" s="168"/>
      <c r="T299" s="168"/>
      <c r="U299" s="168"/>
      <c r="V299" s="168"/>
      <c r="W299" s="168"/>
      <c r="X299" s="168"/>
      <c r="Y299" s="168"/>
      <c r="Z299" s="168"/>
      <c r="AA299" s="168"/>
      <c r="AB299" s="168"/>
      <c r="AC299" s="168"/>
      <c r="AD299" s="168"/>
      <c r="AE299" s="168"/>
    </row>
    <row r="300" spans="1:31" s="14" customFormat="1" ht="37.5" customHeight="1" x14ac:dyDescent="0.2">
      <c r="A300" s="148" t="s">
        <v>104</v>
      </c>
      <c r="B300" s="151" t="s">
        <v>292</v>
      </c>
      <c r="C300" s="13"/>
      <c r="D300" s="142"/>
      <c r="E300" s="111">
        <v>930.3</v>
      </c>
      <c r="F300" s="111">
        <v>591.70000000000005</v>
      </c>
      <c r="G300" s="13"/>
      <c r="H300" s="19">
        <f t="shared" si="16"/>
        <v>0</v>
      </c>
      <c r="I300" s="19"/>
      <c r="J300" s="19">
        <f t="shared" si="18"/>
        <v>0</v>
      </c>
      <c r="K300" s="13">
        <f t="shared" si="17"/>
        <v>-930.3</v>
      </c>
      <c r="L300" s="168"/>
      <c r="M300" s="168"/>
      <c r="N300" s="168"/>
      <c r="O300" s="168"/>
      <c r="P300" s="168"/>
      <c r="Q300" s="168"/>
      <c r="R300" s="168"/>
      <c r="S300" s="168"/>
      <c r="T300" s="168"/>
      <c r="U300" s="168"/>
      <c r="V300" s="168"/>
      <c r="W300" s="168"/>
      <c r="X300" s="168"/>
      <c r="Y300" s="168"/>
      <c r="Z300" s="168"/>
      <c r="AA300" s="168"/>
      <c r="AB300" s="168"/>
      <c r="AC300" s="168"/>
      <c r="AD300" s="168"/>
      <c r="AE300" s="168"/>
    </row>
    <row r="301" spans="1:31" s="14" customFormat="1" ht="85.5" customHeight="1" x14ac:dyDescent="0.2">
      <c r="A301" s="148" t="s">
        <v>104</v>
      </c>
      <c r="B301" s="143" t="s">
        <v>339</v>
      </c>
      <c r="C301" s="13">
        <v>25</v>
      </c>
      <c r="D301" s="142"/>
      <c r="E301" s="111"/>
      <c r="F301" s="111"/>
      <c r="G301" s="13"/>
      <c r="H301" s="19">
        <f t="shared" si="16"/>
        <v>-25</v>
      </c>
      <c r="I301" s="19">
        <f>((G301/C301)*100)-100</f>
        <v>-100</v>
      </c>
      <c r="J301" s="19"/>
      <c r="K301" s="13">
        <f t="shared" si="17"/>
        <v>0</v>
      </c>
      <c r="L301" s="168"/>
      <c r="M301" s="168"/>
      <c r="N301" s="168"/>
      <c r="O301" s="168"/>
      <c r="P301" s="168"/>
      <c r="Q301" s="168"/>
      <c r="R301" s="168"/>
      <c r="S301" s="168"/>
      <c r="T301" s="168"/>
      <c r="U301" s="168"/>
      <c r="V301" s="168"/>
      <c r="W301" s="168"/>
      <c r="X301" s="168"/>
      <c r="Y301" s="168"/>
      <c r="Z301" s="168"/>
      <c r="AA301" s="168"/>
      <c r="AB301" s="168"/>
      <c r="AC301" s="168"/>
      <c r="AD301" s="168"/>
      <c r="AE301" s="168"/>
    </row>
    <row r="302" spans="1:31" s="14" customFormat="1" ht="134.25" customHeight="1" x14ac:dyDescent="0.2">
      <c r="A302" s="148" t="s">
        <v>104</v>
      </c>
      <c r="B302" s="151" t="s">
        <v>293</v>
      </c>
      <c r="C302" s="13"/>
      <c r="D302" s="142"/>
      <c r="E302" s="111">
        <v>631.17826000000002</v>
      </c>
      <c r="F302" s="111">
        <v>631.17826000000002</v>
      </c>
      <c r="G302" s="13"/>
      <c r="H302" s="19">
        <f t="shared" si="16"/>
        <v>0</v>
      </c>
      <c r="I302" s="19"/>
      <c r="J302" s="19">
        <f t="shared" si="18"/>
        <v>0</v>
      </c>
      <c r="K302" s="13">
        <f t="shared" si="17"/>
        <v>-631.17826000000002</v>
      </c>
      <c r="L302" s="168"/>
      <c r="M302" s="168"/>
      <c r="N302" s="168"/>
      <c r="O302" s="168"/>
      <c r="P302" s="168"/>
      <c r="Q302" s="168"/>
      <c r="R302" s="168"/>
      <c r="S302" s="168"/>
      <c r="T302" s="168"/>
      <c r="U302" s="168"/>
      <c r="V302" s="168"/>
      <c r="W302" s="168"/>
      <c r="X302" s="168"/>
      <c r="Y302" s="168"/>
      <c r="Z302" s="168"/>
      <c r="AA302" s="168"/>
      <c r="AB302" s="168"/>
      <c r="AC302" s="168"/>
      <c r="AD302" s="168"/>
      <c r="AE302" s="168"/>
    </row>
    <row r="303" spans="1:31" s="24" customFormat="1" ht="138.75" customHeight="1" x14ac:dyDescent="0.2">
      <c r="A303" s="148" t="s">
        <v>104</v>
      </c>
      <c r="B303" s="154" t="s">
        <v>265</v>
      </c>
      <c r="C303" s="39"/>
      <c r="D303" s="39"/>
      <c r="E303" s="155">
        <v>485</v>
      </c>
      <c r="F303" s="39">
        <v>485</v>
      </c>
      <c r="G303" s="39">
        <v>152.22936999999999</v>
      </c>
      <c r="H303" s="19">
        <f t="shared" si="16"/>
        <v>152.22936999999999</v>
      </c>
      <c r="I303" s="19"/>
      <c r="J303" s="19">
        <f t="shared" si="18"/>
        <v>31.387498969072166</v>
      </c>
      <c r="K303" s="13">
        <f t="shared" si="17"/>
        <v>-332.77062999999998</v>
      </c>
      <c r="L303" s="170"/>
      <c r="M303" s="170"/>
      <c r="N303" s="170"/>
      <c r="O303" s="170"/>
      <c r="P303" s="170"/>
      <c r="Q303" s="170"/>
      <c r="R303" s="170"/>
      <c r="S303" s="170"/>
      <c r="T303" s="170"/>
      <c r="U303" s="170"/>
      <c r="V303" s="170"/>
      <c r="W303" s="170"/>
      <c r="X303" s="170"/>
      <c r="Y303" s="170"/>
      <c r="Z303" s="170"/>
      <c r="AA303" s="170"/>
      <c r="AB303" s="170"/>
      <c r="AC303" s="170"/>
      <c r="AD303" s="170"/>
      <c r="AE303" s="170"/>
    </row>
    <row r="304" spans="1:31" ht="60" customHeight="1" x14ac:dyDescent="0.2">
      <c r="A304" s="156" t="s">
        <v>149</v>
      </c>
      <c r="B304" s="143" t="s">
        <v>142</v>
      </c>
      <c r="C304" s="17">
        <v>47</v>
      </c>
      <c r="D304" s="149"/>
      <c r="E304" s="149"/>
      <c r="F304" s="17"/>
      <c r="G304" s="17"/>
      <c r="H304" s="19">
        <f t="shared" si="16"/>
        <v>-47</v>
      </c>
      <c r="I304" s="19">
        <f>((G304/C304)*100)-100</f>
        <v>-100</v>
      </c>
      <c r="J304" s="19"/>
      <c r="K304" s="13">
        <f t="shared" si="17"/>
        <v>0</v>
      </c>
    </row>
    <row r="305" spans="1:11" ht="60" customHeight="1" x14ac:dyDescent="0.2">
      <c r="A305" s="156" t="s">
        <v>150</v>
      </c>
      <c r="B305" s="143" t="s">
        <v>105</v>
      </c>
      <c r="C305" s="17">
        <v>30</v>
      </c>
      <c r="D305" s="149"/>
      <c r="E305" s="157">
        <v>30</v>
      </c>
      <c r="F305" s="157">
        <v>30</v>
      </c>
      <c r="G305" s="17"/>
      <c r="H305" s="19">
        <f t="shared" si="16"/>
        <v>-30</v>
      </c>
      <c r="I305" s="19">
        <f>((G305/C305)*100)-100</f>
        <v>-100</v>
      </c>
      <c r="J305" s="19">
        <f t="shared" si="18"/>
        <v>0</v>
      </c>
      <c r="K305" s="13">
        <f t="shared" si="17"/>
        <v>-30</v>
      </c>
    </row>
    <row r="306" spans="1:11" ht="79.5" customHeight="1" x14ac:dyDescent="0.2">
      <c r="A306" s="156" t="s">
        <v>150</v>
      </c>
      <c r="B306" s="143" t="s">
        <v>266</v>
      </c>
      <c r="C306" s="17"/>
      <c r="D306" s="149"/>
      <c r="E306" s="157">
        <v>20</v>
      </c>
      <c r="F306" s="157">
        <v>20</v>
      </c>
      <c r="G306" s="17"/>
      <c r="H306" s="19">
        <f t="shared" si="16"/>
        <v>0</v>
      </c>
      <c r="I306" s="19"/>
      <c r="J306" s="19">
        <f t="shared" si="18"/>
        <v>0</v>
      </c>
      <c r="K306" s="13">
        <f t="shared" si="17"/>
        <v>-20</v>
      </c>
    </row>
    <row r="307" spans="1:11" ht="42.75" customHeight="1" x14ac:dyDescent="0.2">
      <c r="A307" s="156" t="s">
        <v>150</v>
      </c>
      <c r="B307" s="143" t="s">
        <v>294</v>
      </c>
      <c r="C307" s="17">
        <v>15</v>
      </c>
      <c r="D307" s="149"/>
      <c r="E307" s="157">
        <f>15</f>
        <v>15</v>
      </c>
      <c r="F307" s="157">
        <v>15</v>
      </c>
      <c r="G307" s="17">
        <v>15</v>
      </c>
      <c r="H307" s="19">
        <f t="shared" si="16"/>
        <v>0</v>
      </c>
      <c r="I307" s="19">
        <f>((G307/C307)*100)-100</f>
        <v>0</v>
      </c>
      <c r="J307" s="19">
        <f t="shared" si="18"/>
        <v>100</v>
      </c>
      <c r="K307" s="13">
        <f t="shared" si="17"/>
        <v>0</v>
      </c>
    </row>
    <row r="308" spans="1:11" ht="42.75" customHeight="1" x14ac:dyDescent="0.2">
      <c r="A308" s="156" t="s">
        <v>150</v>
      </c>
      <c r="B308" s="143" t="s">
        <v>295</v>
      </c>
      <c r="C308" s="17">
        <v>15</v>
      </c>
      <c r="D308" s="149"/>
      <c r="E308" s="157">
        <v>20</v>
      </c>
      <c r="F308" s="157">
        <v>20</v>
      </c>
      <c r="G308" s="17"/>
      <c r="H308" s="19">
        <f t="shared" si="16"/>
        <v>-15</v>
      </c>
      <c r="I308" s="19">
        <f>((G308/C308)*100)-100</f>
        <v>-100</v>
      </c>
      <c r="J308" s="19">
        <f t="shared" si="18"/>
        <v>0</v>
      </c>
      <c r="K308" s="13">
        <f t="shared" si="17"/>
        <v>-20</v>
      </c>
    </row>
    <row r="309" spans="1:11" ht="85.5" customHeight="1" x14ac:dyDescent="0.2">
      <c r="A309" s="156" t="s">
        <v>144</v>
      </c>
      <c r="B309" s="143" t="s">
        <v>340</v>
      </c>
      <c r="C309" s="17">
        <v>49.5</v>
      </c>
      <c r="D309" s="149"/>
      <c r="E309" s="157"/>
      <c r="F309" s="157"/>
      <c r="G309" s="17"/>
      <c r="H309" s="19">
        <f t="shared" si="16"/>
        <v>-49.5</v>
      </c>
      <c r="I309" s="19">
        <f>((G309/C309)*100)-100</f>
        <v>-100</v>
      </c>
      <c r="J309" s="19"/>
      <c r="K309" s="13">
        <f t="shared" si="17"/>
        <v>0</v>
      </c>
    </row>
    <row r="310" spans="1:11" ht="101.25" customHeight="1" x14ac:dyDescent="0.2">
      <c r="A310" s="156" t="s">
        <v>144</v>
      </c>
      <c r="B310" s="143" t="s">
        <v>341</v>
      </c>
      <c r="C310" s="17">
        <v>49.5</v>
      </c>
      <c r="D310" s="149"/>
      <c r="E310" s="157"/>
      <c r="F310" s="157"/>
      <c r="G310" s="17"/>
      <c r="H310" s="19">
        <f t="shared" si="16"/>
        <v>-49.5</v>
      </c>
      <c r="I310" s="19">
        <f>((G310/C310)*100)-100</f>
        <v>-100</v>
      </c>
      <c r="J310" s="19"/>
      <c r="K310" s="13">
        <f t="shared" si="17"/>
        <v>0</v>
      </c>
    </row>
    <row r="311" spans="1:11" ht="104.25" customHeight="1" x14ac:dyDescent="0.2">
      <c r="A311" s="156" t="s">
        <v>312</v>
      </c>
      <c r="B311" s="154" t="s">
        <v>313</v>
      </c>
      <c r="C311" s="17"/>
      <c r="D311" s="149"/>
      <c r="E311" s="157">
        <v>250</v>
      </c>
      <c r="F311" s="157">
        <v>250</v>
      </c>
      <c r="G311" s="17">
        <v>250</v>
      </c>
      <c r="H311" s="19">
        <f t="shared" si="16"/>
        <v>250</v>
      </c>
      <c r="I311" s="19"/>
      <c r="J311" s="19">
        <f t="shared" si="18"/>
        <v>100</v>
      </c>
      <c r="K311" s="13">
        <f t="shared" si="17"/>
        <v>0</v>
      </c>
    </row>
    <row r="312" spans="1:11" ht="75" customHeight="1" x14ac:dyDescent="0.2">
      <c r="A312" s="156" t="s">
        <v>151</v>
      </c>
      <c r="B312" s="158" t="s">
        <v>106</v>
      </c>
      <c r="C312" s="17">
        <v>292</v>
      </c>
      <c r="D312" s="149"/>
      <c r="E312" s="149">
        <v>1004.2212500000001</v>
      </c>
      <c r="F312" s="17">
        <v>1004.2212500000001</v>
      </c>
      <c r="G312" s="17">
        <v>1000</v>
      </c>
      <c r="H312" s="19">
        <f t="shared" si="16"/>
        <v>708</v>
      </c>
      <c r="I312" s="19">
        <f>((G312/C312)*100)-100</f>
        <v>242.46575342465752</v>
      </c>
      <c r="J312" s="19">
        <f t="shared" si="18"/>
        <v>99.57964940494935</v>
      </c>
      <c r="K312" s="13">
        <f t="shared" si="17"/>
        <v>-4.2212500000000546</v>
      </c>
    </row>
    <row r="313" spans="1:11" ht="116.25" customHeight="1" x14ac:dyDescent="0.2">
      <c r="A313" s="156" t="s">
        <v>151</v>
      </c>
      <c r="B313" s="159" t="s">
        <v>267</v>
      </c>
      <c r="C313" s="17"/>
      <c r="D313" s="149"/>
      <c r="E313" s="149">
        <v>100</v>
      </c>
      <c r="F313" s="17">
        <v>100</v>
      </c>
      <c r="G313" s="17"/>
      <c r="H313" s="19">
        <f t="shared" si="16"/>
        <v>0</v>
      </c>
      <c r="I313" s="19"/>
      <c r="J313" s="19">
        <f t="shared" si="18"/>
        <v>0</v>
      </c>
      <c r="K313" s="13">
        <f t="shared" si="17"/>
        <v>-100</v>
      </c>
    </row>
    <row r="314" spans="1:11" ht="60.75" customHeight="1" x14ac:dyDescent="0.2">
      <c r="A314" s="156" t="s">
        <v>139</v>
      </c>
      <c r="B314" s="160" t="s">
        <v>143</v>
      </c>
      <c r="C314" s="17">
        <v>1139.3</v>
      </c>
      <c r="D314" s="149"/>
      <c r="E314" s="149">
        <v>2000</v>
      </c>
      <c r="F314" s="17">
        <v>500</v>
      </c>
      <c r="G314" s="17"/>
      <c r="H314" s="19">
        <f t="shared" si="16"/>
        <v>-1139.3</v>
      </c>
      <c r="I314" s="19">
        <f>((G314/C314)*100)-100</f>
        <v>-100</v>
      </c>
      <c r="J314" s="19">
        <f t="shared" si="18"/>
        <v>0</v>
      </c>
      <c r="K314" s="13">
        <f t="shared" si="17"/>
        <v>-2000</v>
      </c>
    </row>
    <row r="315" spans="1:11" ht="60.75" customHeight="1" x14ac:dyDescent="0.2">
      <c r="A315" s="156" t="s">
        <v>139</v>
      </c>
      <c r="B315" s="160" t="s">
        <v>296</v>
      </c>
      <c r="C315" s="17"/>
      <c r="D315" s="149"/>
      <c r="E315" s="149">
        <v>790.25913000000003</v>
      </c>
      <c r="F315" s="17">
        <v>790.25913000000003</v>
      </c>
      <c r="G315" s="17">
        <v>2.4</v>
      </c>
      <c r="H315" s="19">
        <f t="shared" si="16"/>
        <v>2.4</v>
      </c>
      <c r="I315" s="19"/>
      <c r="J315" s="19">
        <f t="shared" si="18"/>
        <v>0.3036978516148241</v>
      </c>
      <c r="K315" s="13">
        <f t="shared" si="17"/>
        <v>-787.85913000000005</v>
      </c>
    </row>
    <row r="316" spans="1:11" ht="60.75" customHeight="1" x14ac:dyDescent="0.2">
      <c r="A316" s="156" t="s">
        <v>139</v>
      </c>
      <c r="B316" s="160" t="s">
        <v>297</v>
      </c>
      <c r="C316" s="17"/>
      <c r="D316" s="149"/>
      <c r="E316" s="149">
        <v>1001.71343</v>
      </c>
      <c r="F316" s="17">
        <v>1001.71343</v>
      </c>
      <c r="G316" s="17">
        <v>58.380809999999997</v>
      </c>
      <c r="H316" s="19">
        <f t="shared" si="16"/>
        <v>58.380809999999997</v>
      </c>
      <c r="I316" s="19"/>
      <c r="J316" s="19">
        <f t="shared" si="18"/>
        <v>5.8280949672402809</v>
      </c>
      <c r="K316" s="13">
        <f t="shared" si="17"/>
        <v>-943.33262000000002</v>
      </c>
    </row>
    <row r="317" spans="1:11" ht="117" customHeight="1" x14ac:dyDescent="0.2">
      <c r="A317" s="156" t="s">
        <v>139</v>
      </c>
      <c r="B317" s="160" t="s">
        <v>298</v>
      </c>
      <c r="C317" s="17"/>
      <c r="D317" s="149"/>
      <c r="E317" s="149">
        <v>10</v>
      </c>
      <c r="F317" s="17">
        <v>10</v>
      </c>
      <c r="G317" s="17"/>
      <c r="H317" s="19">
        <f t="shared" si="16"/>
        <v>0</v>
      </c>
      <c r="I317" s="19"/>
      <c r="J317" s="19">
        <f t="shared" si="18"/>
        <v>0</v>
      </c>
      <c r="K317" s="13">
        <f t="shared" si="17"/>
        <v>-10</v>
      </c>
    </row>
    <row r="318" spans="1:11" ht="117" customHeight="1" x14ac:dyDescent="0.2">
      <c r="A318" s="156" t="s">
        <v>299</v>
      </c>
      <c r="B318" s="160" t="s">
        <v>300</v>
      </c>
      <c r="C318" s="17"/>
      <c r="D318" s="149"/>
      <c r="E318" s="149">
        <v>3000</v>
      </c>
      <c r="F318" s="17">
        <v>3000</v>
      </c>
      <c r="G318" s="17">
        <v>886.77666999999997</v>
      </c>
      <c r="H318" s="19">
        <f t="shared" si="16"/>
        <v>886.77666999999997</v>
      </c>
      <c r="I318" s="19"/>
      <c r="J318" s="19">
        <f t="shared" si="18"/>
        <v>29.559222333333334</v>
      </c>
      <c r="K318" s="13">
        <f t="shared" si="17"/>
        <v>-2113.2233299999998</v>
      </c>
    </row>
    <row r="319" spans="1:11" ht="177" customHeight="1" x14ac:dyDescent="0.2">
      <c r="A319" s="156" t="s">
        <v>301</v>
      </c>
      <c r="B319" s="160" t="s">
        <v>302</v>
      </c>
      <c r="C319" s="17"/>
      <c r="D319" s="149"/>
      <c r="E319" s="149">
        <v>41.632179999999998</v>
      </c>
      <c r="F319" s="17">
        <v>41.632179999999998</v>
      </c>
      <c r="G319" s="17"/>
      <c r="H319" s="19">
        <f t="shared" si="16"/>
        <v>0</v>
      </c>
      <c r="I319" s="19"/>
      <c r="J319" s="19">
        <f t="shared" si="18"/>
        <v>0</v>
      </c>
      <c r="K319" s="13">
        <f t="shared" si="17"/>
        <v>-41.632179999999998</v>
      </c>
    </row>
    <row r="320" spans="1:11" ht="84" customHeight="1" x14ac:dyDescent="0.2">
      <c r="A320" s="156" t="s">
        <v>137</v>
      </c>
      <c r="B320" s="151" t="s">
        <v>138</v>
      </c>
      <c r="C320" s="17">
        <v>2038.4</v>
      </c>
      <c r="D320" s="149"/>
      <c r="E320" s="149">
        <v>24128.66158</v>
      </c>
      <c r="F320" s="17">
        <v>22737.66158</v>
      </c>
      <c r="G320" s="17">
        <v>2117.8932</v>
      </c>
      <c r="H320" s="19">
        <f t="shared" si="16"/>
        <v>79.493199999999888</v>
      </c>
      <c r="I320" s="19">
        <f>((G320/C320)*100)-100</f>
        <v>3.8997841444270023</v>
      </c>
      <c r="J320" s="19">
        <f t="shared" si="18"/>
        <v>8.7774997091239406</v>
      </c>
      <c r="K320" s="13">
        <f t="shared" si="17"/>
        <v>-22010.768380000001</v>
      </c>
    </row>
    <row r="321" spans="1:11" ht="158.25" customHeight="1" x14ac:dyDescent="0.2">
      <c r="A321" s="11" t="s">
        <v>167</v>
      </c>
      <c r="B321" s="154" t="s">
        <v>268</v>
      </c>
      <c r="C321" s="17"/>
      <c r="D321" s="149"/>
      <c r="E321" s="149">
        <v>50</v>
      </c>
      <c r="F321" s="17">
        <v>50</v>
      </c>
      <c r="G321" s="17">
        <v>50</v>
      </c>
      <c r="H321" s="19">
        <f t="shared" si="16"/>
        <v>50</v>
      </c>
      <c r="I321" s="19"/>
      <c r="J321" s="19">
        <f t="shared" si="18"/>
        <v>100</v>
      </c>
      <c r="K321" s="13">
        <f t="shared" si="17"/>
        <v>0</v>
      </c>
    </row>
    <row r="322" spans="1:11" ht="173.25" customHeight="1" x14ac:dyDescent="0.2">
      <c r="A322" s="11" t="s">
        <v>167</v>
      </c>
      <c r="B322" s="154" t="s">
        <v>303</v>
      </c>
      <c r="C322" s="17"/>
      <c r="D322" s="149"/>
      <c r="E322" s="149">
        <v>50</v>
      </c>
      <c r="F322" s="17">
        <v>50</v>
      </c>
      <c r="G322" s="17"/>
      <c r="H322" s="19">
        <f t="shared" si="16"/>
        <v>0</v>
      </c>
      <c r="I322" s="19"/>
      <c r="J322" s="19">
        <f t="shared" si="18"/>
        <v>0</v>
      </c>
      <c r="K322" s="13">
        <f t="shared" si="17"/>
        <v>-50</v>
      </c>
    </row>
    <row r="323" spans="1:11" ht="120.75" customHeight="1" x14ac:dyDescent="0.2">
      <c r="A323" s="11" t="s">
        <v>167</v>
      </c>
      <c r="B323" s="154" t="s">
        <v>304</v>
      </c>
      <c r="C323" s="17"/>
      <c r="D323" s="149"/>
      <c r="E323" s="149">
        <v>50</v>
      </c>
      <c r="F323" s="17">
        <v>50</v>
      </c>
      <c r="G323" s="17"/>
      <c r="H323" s="19">
        <f t="shared" si="16"/>
        <v>0</v>
      </c>
      <c r="I323" s="19"/>
      <c r="J323" s="19">
        <f t="shared" si="18"/>
        <v>0</v>
      </c>
      <c r="K323" s="13">
        <f t="shared" si="17"/>
        <v>-50</v>
      </c>
    </row>
    <row r="324" spans="1:11" ht="158.25" customHeight="1" x14ac:dyDescent="0.2">
      <c r="A324" s="11" t="s">
        <v>167</v>
      </c>
      <c r="B324" s="154" t="s">
        <v>305</v>
      </c>
      <c r="C324" s="17"/>
      <c r="D324" s="149"/>
      <c r="E324" s="149">
        <v>10</v>
      </c>
      <c r="F324" s="17">
        <v>10</v>
      </c>
      <c r="G324" s="17"/>
      <c r="H324" s="19">
        <f t="shared" si="16"/>
        <v>0</v>
      </c>
      <c r="I324" s="19"/>
      <c r="J324" s="19">
        <f t="shared" si="18"/>
        <v>0</v>
      </c>
      <c r="K324" s="13">
        <f t="shared" si="17"/>
        <v>-10</v>
      </c>
    </row>
    <row r="325" spans="1:11" ht="122.25" customHeight="1" x14ac:dyDescent="0.2">
      <c r="A325" s="11" t="s">
        <v>167</v>
      </c>
      <c r="B325" s="154" t="s">
        <v>306</v>
      </c>
      <c r="C325" s="17"/>
      <c r="D325" s="149"/>
      <c r="E325" s="149">
        <v>70</v>
      </c>
      <c r="F325" s="17">
        <v>70</v>
      </c>
      <c r="G325" s="17">
        <v>70</v>
      </c>
      <c r="H325" s="19">
        <f t="shared" si="16"/>
        <v>70</v>
      </c>
      <c r="I325" s="19"/>
      <c r="J325" s="19">
        <f t="shared" si="18"/>
        <v>100</v>
      </c>
      <c r="K325" s="13">
        <f t="shared" si="17"/>
        <v>0</v>
      </c>
    </row>
    <row r="326" spans="1:11" ht="135.75" customHeight="1" x14ac:dyDescent="0.2">
      <c r="A326" s="11" t="s">
        <v>167</v>
      </c>
      <c r="B326" s="154" t="s">
        <v>307</v>
      </c>
      <c r="C326" s="17"/>
      <c r="D326" s="149"/>
      <c r="E326" s="149">
        <v>20</v>
      </c>
      <c r="F326" s="17">
        <v>20</v>
      </c>
      <c r="G326" s="17"/>
      <c r="H326" s="19">
        <f t="shared" si="16"/>
        <v>0</v>
      </c>
      <c r="I326" s="19"/>
      <c r="J326" s="19">
        <f t="shared" si="18"/>
        <v>0</v>
      </c>
      <c r="K326" s="13">
        <f t="shared" si="17"/>
        <v>-20</v>
      </c>
    </row>
    <row r="327" spans="1:11" ht="141" customHeight="1" x14ac:dyDescent="0.2">
      <c r="A327" s="11" t="s">
        <v>167</v>
      </c>
      <c r="B327" s="154" t="s">
        <v>308</v>
      </c>
      <c r="C327" s="17"/>
      <c r="D327" s="149"/>
      <c r="E327" s="149">
        <v>20</v>
      </c>
      <c r="F327" s="17"/>
      <c r="G327" s="17"/>
      <c r="H327" s="19">
        <f t="shared" si="16"/>
        <v>0</v>
      </c>
      <c r="I327" s="19"/>
      <c r="J327" s="19">
        <f t="shared" si="18"/>
        <v>0</v>
      </c>
      <c r="K327" s="13">
        <f t="shared" si="17"/>
        <v>-20</v>
      </c>
    </row>
    <row r="328" spans="1:11" ht="127.5" customHeight="1" x14ac:dyDescent="0.2">
      <c r="A328" s="11" t="s">
        <v>167</v>
      </c>
      <c r="B328" s="154" t="s">
        <v>309</v>
      </c>
      <c r="C328" s="17"/>
      <c r="D328" s="149"/>
      <c r="E328" s="149">
        <v>30</v>
      </c>
      <c r="F328" s="17"/>
      <c r="G328" s="17"/>
      <c r="H328" s="19">
        <f t="shared" si="16"/>
        <v>0</v>
      </c>
      <c r="I328" s="19"/>
      <c r="J328" s="19">
        <f t="shared" si="18"/>
        <v>0</v>
      </c>
      <c r="K328" s="13">
        <f t="shared" si="17"/>
        <v>-30</v>
      </c>
    </row>
    <row r="329" spans="1:11" ht="136.5" customHeight="1" x14ac:dyDescent="0.2">
      <c r="A329" s="11" t="s">
        <v>167</v>
      </c>
      <c r="B329" s="154" t="s">
        <v>310</v>
      </c>
      <c r="C329" s="17"/>
      <c r="D329" s="149"/>
      <c r="E329" s="149">
        <v>20</v>
      </c>
      <c r="F329" s="17"/>
      <c r="G329" s="17"/>
      <c r="H329" s="19">
        <f t="shared" si="16"/>
        <v>0</v>
      </c>
      <c r="I329" s="19"/>
      <c r="J329" s="19">
        <f t="shared" si="18"/>
        <v>0</v>
      </c>
      <c r="K329" s="13">
        <f t="shared" si="17"/>
        <v>-20</v>
      </c>
    </row>
    <row r="330" spans="1:11" ht="148.5" customHeight="1" x14ac:dyDescent="0.2">
      <c r="A330" s="11" t="s">
        <v>167</v>
      </c>
      <c r="B330" s="154" t="s">
        <v>311</v>
      </c>
      <c r="C330" s="17"/>
      <c r="D330" s="149"/>
      <c r="E330" s="149">
        <v>20</v>
      </c>
      <c r="F330" s="17"/>
      <c r="G330" s="17"/>
      <c r="H330" s="19">
        <f t="shared" si="16"/>
        <v>0</v>
      </c>
      <c r="I330" s="19"/>
      <c r="J330" s="19">
        <f t="shared" si="18"/>
        <v>0</v>
      </c>
      <c r="K330" s="13">
        <f t="shared" si="17"/>
        <v>-20</v>
      </c>
    </row>
    <row r="331" spans="1:11" ht="87.75" customHeight="1" x14ac:dyDescent="0.2">
      <c r="A331" s="11" t="s">
        <v>318</v>
      </c>
      <c r="B331" s="154" t="s">
        <v>314</v>
      </c>
      <c r="C331" s="17"/>
      <c r="D331" s="149"/>
      <c r="E331" s="149">
        <v>260</v>
      </c>
      <c r="F331" s="17">
        <v>260</v>
      </c>
      <c r="G331" s="17">
        <v>260</v>
      </c>
      <c r="H331" s="19">
        <f t="shared" si="16"/>
        <v>260</v>
      </c>
      <c r="I331" s="19"/>
      <c r="J331" s="19">
        <f t="shared" si="18"/>
        <v>100</v>
      </c>
      <c r="K331" s="13">
        <f t="shared" si="17"/>
        <v>0</v>
      </c>
    </row>
    <row r="332" spans="1:11" ht="87.75" customHeight="1" x14ac:dyDescent="0.2">
      <c r="A332" s="11" t="s">
        <v>318</v>
      </c>
      <c r="B332" s="154" t="s">
        <v>342</v>
      </c>
      <c r="C332" s="17">
        <v>50</v>
      </c>
      <c r="D332" s="149"/>
      <c r="E332" s="149"/>
      <c r="F332" s="17"/>
      <c r="G332" s="17"/>
      <c r="H332" s="19">
        <f t="shared" si="16"/>
        <v>-50</v>
      </c>
      <c r="I332" s="19">
        <f>((G332/C332)*100)-100</f>
        <v>-100</v>
      </c>
      <c r="J332" s="19"/>
      <c r="K332" s="13">
        <f t="shared" si="17"/>
        <v>0</v>
      </c>
    </row>
    <row r="333" spans="1:11" ht="87.75" customHeight="1" x14ac:dyDescent="0.2">
      <c r="A333" s="11" t="s">
        <v>318</v>
      </c>
      <c r="B333" s="154" t="s">
        <v>343</v>
      </c>
      <c r="C333" s="17">
        <v>29.9</v>
      </c>
      <c r="D333" s="149"/>
      <c r="E333" s="149"/>
      <c r="F333" s="17"/>
      <c r="G333" s="17"/>
      <c r="H333" s="19">
        <f t="shared" si="16"/>
        <v>-29.9</v>
      </c>
      <c r="I333" s="19">
        <f>((G333/C333)*100)-100</f>
        <v>-100</v>
      </c>
      <c r="J333" s="19"/>
      <c r="K333" s="13">
        <f t="shared" si="17"/>
        <v>0</v>
      </c>
    </row>
    <row r="334" spans="1:11" ht="63.75" customHeight="1" x14ac:dyDescent="0.2">
      <c r="A334" s="11" t="s">
        <v>318</v>
      </c>
      <c r="B334" s="154" t="s">
        <v>315</v>
      </c>
      <c r="C334" s="17"/>
      <c r="D334" s="149"/>
      <c r="E334" s="149">
        <v>900</v>
      </c>
      <c r="F334" s="17">
        <v>900</v>
      </c>
      <c r="G334" s="17">
        <v>420.83199999999999</v>
      </c>
      <c r="H334" s="19">
        <f t="shared" si="16"/>
        <v>420.83199999999999</v>
      </c>
      <c r="I334" s="19"/>
      <c r="J334" s="19">
        <f t="shared" si="18"/>
        <v>46.75911111111111</v>
      </c>
      <c r="K334" s="13">
        <f t="shared" si="17"/>
        <v>-479.16800000000001</v>
      </c>
    </row>
    <row r="335" spans="1:11" ht="63.75" customHeight="1" x14ac:dyDescent="0.2">
      <c r="A335" s="11" t="s">
        <v>318</v>
      </c>
      <c r="B335" s="154" t="s">
        <v>316</v>
      </c>
      <c r="C335" s="17"/>
      <c r="D335" s="149"/>
      <c r="E335" s="149">
        <v>3840</v>
      </c>
      <c r="F335" s="17">
        <v>3840</v>
      </c>
      <c r="G335" s="17"/>
      <c r="H335" s="19">
        <f t="shared" si="16"/>
        <v>0</v>
      </c>
      <c r="I335" s="19"/>
      <c r="J335" s="19">
        <f t="shared" si="18"/>
        <v>0</v>
      </c>
      <c r="K335" s="13">
        <f t="shared" si="17"/>
        <v>-3840</v>
      </c>
    </row>
    <row r="336" spans="1:11" ht="45" customHeight="1" x14ac:dyDescent="0.2">
      <c r="A336" s="11" t="s">
        <v>318</v>
      </c>
      <c r="B336" s="154" t="s">
        <v>317</v>
      </c>
      <c r="C336" s="17"/>
      <c r="D336" s="149"/>
      <c r="E336" s="149">
        <v>20</v>
      </c>
      <c r="F336" s="17">
        <v>20</v>
      </c>
      <c r="G336" s="17"/>
      <c r="H336" s="19">
        <f t="shared" si="16"/>
        <v>0</v>
      </c>
      <c r="I336" s="19"/>
      <c r="J336" s="19">
        <f t="shared" si="18"/>
        <v>0</v>
      </c>
      <c r="K336" s="13">
        <f t="shared" si="17"/>
        <v>-20</v>
      </c>
    </row>
    <row r="337" spans="1:13" ht="84" customHeight="1" x14ac:dyDescent="0.2">
      <c r="A337" s="11" t="s">
        <v>146</v>
      </c>
      <c r="B337" s="161" t="s">
        <v>145</v>
      </c>
      <c r="C337" s="17">
        <v>665.4</v>
      </c>
      <c r="D337" s="149"/>
      <c r="E337" s="149">
        <v>226.38256000000001</v>
      </c>
      <c r="F337" s="17">
        <v>226.38256000000001</v>
      </c>
      <c r="G337" s="17">
        <v>63.175840000000001</v>
      </c>
      <c r="H337" s="19">
        <f t="shared" si="16"/>
        <v>-602.22415999999998</v>
      </c>
      <c r="I337" s="19">
        <f>((G337/C337)*100)-100</f>
        <v>-90.505584610760451</v>
      </c>
      <c r="J337" s="19">
        <f t="shared" si="18"/>
        <v>27.906672669484784</v>
      </c>
      <c r="K337" s="13">
        <f t="shared" si="17"/>
        <v>-163.20672000000002</v>
      </c>
    </row>
    <row r="338" spans="1:13" ht="80.25" customHeight="1" x14ac:dyDescent="0.2">
      <c r="A338" s="11" t="s">
        <v>183</v>
      </c>
      <c r="B338" s="154" t="s">
        <v>319</v>
      </c>
      <c r="C338" s="17"/>
      <c r="D338" s="149"/>
      <c r="E338" s="149">
        <v>40</v>
      </c>
      <c r="F338" s="17">
        <v>40</v>
      </c>
      <c r="G338" s="17"/>
      <c r="H338" s="19">
        <f t="shared" si="16"/>
        <v>0</v>
      </c>
      <c r="I338" s="19"/>
      <c r="J338" s="19">
        <f t="shared" si="18"/>
        <v>0</v>
      </c>
      <c r="K338" s="13">
        <f t="shared" si="17"/>
        <v>-40</v>
      </c>
    </row>
    <row r="339" spans="1:13" ht="99" customHeight="1" x14ac:dyDescent="0.2">
      <c r="A339" s="162" t="s">
        <v>147</v>
      </c>
      <c r="B339" s="153" t="s">
        <v>269</v>
      </c>
      <c r="C339" s="17"/>
      <c r="D339" s="149"/>
      <c r="E339" s="149">
        <v>600</v>
      </c>
      <c r="F339" s="17">
        <v>600</v>
      </c>
      <c r="G339" s="17">
        <v>600</v>
      </c>
      <c r="H339" s="19">
        <f t="shared" si="16"/>
        <v>600</v>
      </c>
      <c r="I339" s="19"/>
      <c r="J339" s="19">
        <f t="shared" si="18"/>
        <v>100</v>
      </c>
      <c r="K339" s="13">
        <f t="shared" si="17"/>
        <v>0</v>
      </c>
    </row>
    <row r="340" spans="1:13" ht="49.5" customHeight="1" x14ac:dyDescent="0.2">
      <c r="A340" s="15"/>
      <c r="B340" s="70" t="s">
        <v>49</v>
      </c>
      <c r="C340" s="9">
        <f>C283+C284</f>
        <v>261868.69999999995</v>
      </c>
      <c r="D340" s="9">
        <f>D283+D284</f>
        <v>1253316</v>
      </c>
      <c r="E340" s="9">
        <f>E283+E284</f>
        <v>1465997.7297400001</v>
      </c>
      <c r="F340" s="9">
        <f>F283+F284</f>
        <v>933062.06874000002</v>
      </c>
      <c r="G340" s="9">
        <f>G283+G284</f>
        <v>412907.11910999997</v>
      </c>
      <c r="H340" s="19">
        <f>G340-C340</f>
        <v>151038.41911000002</v>
      </c>
      <c r="I340" s="19">
        <f>((G340/C340)*100)-100</f>
        <v>57.677156189342242</v>
      </c>
      <c r="J340" s="19">
        <f>G340/E340*100</f>
        <v>28.165604266196954</v>
      </c>
      <c r="K340" s="13">
        <f>G340-E340</f>
        <v>-1053090.61063</v>
      </c>
      <c r="L340" s="164"/>
      <c r="M340" s="164">
        <f>374365.97853-878.336-269.02342</f>
        <v>373218.61911000003</v>
      </c>
    </row>
    <row r="341" spans="1:13" ht="49.5" customHeight="1" x14ac:dyDescent="0.2">
      <c r="A341" s="42"/>
      <c r="B341" s="47" t="s">
        <v>50</v>
      </c>
      <c r="C341" s="9">
        <f>C207+C340</f>
        <v>1484937.3</v>
      </c>
      <c r="D341" s="9">
        <f>D207+D340</f>
        <v>3547794.3000000003</v>
      </c>
      <c r="E341" s="9">
        <f>E207+E340</f>
        <v>3633580.2297400003</v>
      </c>
      <c r="F341" s="9">
        <f>F207+F340</f>
        <v>2355969.9687400004</v>
      </c>
      <c r="G341" s="9">
        <f>G207+G340</f>
        <v>1576691.1191100003</v>
      </c>
      <c r="H341" s="19">
        <f>G341-C341</f>
        <v>91753.819110000273</v>
      </c>
      <c r="I341" s="19">
        <f>((G341/C341)*100)-100</f>
        <v>6.1789692473884372</v>
      </c>
      <c r="J341" s="19">
        <f>G341/E341*100</f>
        <v>43.392219778309943</v>
      </c>
      <c r="K341" s="9">
        <f>G341-E341</f>
        <v>-2056889.11063</v>
      </c>
      <c r="L341" s="164"/>
      <c r="M341" s="164"/>
    </row>
    <row r="342" spans="1:13" ht="49.5" customHeight="1" x14ac:dyDescent="0.2">
      <c r="A342" s="48"/>
      <c r="B342" s="49"/>
      <c r="C342" s="50"/>
      <c r="D342" s="50"/>
      <c r="E342" s="50"/>
      <c r="F342" s="50"/>
      <c r="G342" s="50"/>
      <c r="H342" s="51"/>
      <c r="I342" s="51"/>
      <c r="J342" s="51"/>
      <c r="K342" s="52"/>
    </row>
    <row r="343" spans="1:13" ht="49.5" customHeight="1" x14ac:dyDescent="0.2">
      <c r="C343" s="53"/>
      <c r="D343" s="53"/>
      <c r="E343" s="53"/>
      <c r="F343" s="53"/>
      <c r="G343" s="53"/>
      <c r="H343" s="53"/>
      <c r="I343" s="53"/>
      <c r="J343" s="53"/>
      <c r="K343" s="53"/>
    </row>
    <row r="344" spans="1:13" ht="49.5" customHeight="1" x14ac:dyDescent="0.2">
      <c r="A344" s="2" t="s">
        <v>47</v>
      </c>
      <c r="B344" s="54" t="s">
        <v>67</v>
      </c>
      <c r="C344" s="55"/>
      <c r="D344" s="55"/>
      <c r="E344" s="55"/>
      <c r="F344" s="55"/>
      <c r="G344" s="55"/>
      <c r="H344" s="55"/>
      <c r="I344" s="185" t="s">
        <v>89</v>
      </c>
      <c r="J344" s="185"/>
      <c r="K344" s="56"/>
    </row>
    <row r="345" spans="1:13" ht="49.5" customHeight="1" x14ac:dyDescent="0.2">
      <c r="B345" s="57"/>
      <c r="C345" s="66"/>
      <c r="D345" s="58"/>
      <c r="E345" s="58"/>
      <c r="F345" s="58"/>
      <c r="G345" s="58"/>
      <c r="H345" s="58"/>
      <c r="I345" s="57"/>
      <c r="J345" s="53"/>
      <c r="K345" s="53"/>
    </row>
    <row r="346" spans="1:13" ht="49.5" customHeight="1" x14ac:dyDescent="0.2">
      <c r="B346" s="57"/>
      <c r="C346" s="66"/>
      <c r="D346" s="58"/>
      <c r="E346" s="58"/>
      <c r="F346" s="58"/>
      <c r="G346" s="58"/>
      <c r="H346" s="59"/>
      <c r="I346" s="59"/>
      <c r="J346" s="53"/>
      <c r="K346" s="53"/>
    </row>
    <row r="347" spans="1:13" ht="49.5" customHeight="1" x14ac:dyDescent="0.2">
      <c r="B347" s="57"/>
      <c r="C347" s="60">
        <v>190556.4</v>
      </c>
      <c r="D347" s="60"/>
      <c r="E347" s="60">
        <v>973447.5</v>
      </c>
      <c r="F347" s="60"/>
      <c r="G347" s="60">
        <v>190556.4</v>
      </c>
      <c r="H347" s="60"/>
      <c r="I347" s="59"/>
      <c r="J347" s="53"/>
      <c r="K347" s="53"/>
    </row>
    <row r="348" spans="1:13" ht="49.5" customHeight="1" x14ac:dyDescent="0.2">
      <c r="C348" s="61">
        <f>C341-C347</f>
        <v>1294380.9000000001</v>
      </c>
      <c r="D348" s="61"/>
      <c r="E348" s="61">
        <f>E341-E347-50</f>
        <v>2660082.7297400003</v>
      </c>
      <c r="F348" s="61"/>
      <c r="G348" s="61">
        <f>G341-G347</f>
        <v>1386134.7191100004</v>
      </c>
      <c r="H348" s="61"/>
      <c r="I348" s="53"/>
      <c r="J348" s="53"/>
      <c r="K348" s="53"/>
    </row>
    <row r="439" spans="5:6" x14ac:dyDescent="0.2">
      <c r="E439" s="2"/>
      <c r="F439" s="2"/>
    </row>
  </sheetData>
  <mergeCells count="23">
    <mergeCell ref="H1:K1"/>
    <mergeCell ref="H2:K2"/>
    <mergeCell ref="H3:K3"/>
    <mergeCell ref="A4:K4"/>
    <mergeCell ref="A5:K5"/>
    <mergeCell ref="A6:K6"/>
    <mergeCell ref="B7:J7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A11:K11"/>
    <mergeCell ref="A153:B153"/>
    <mergeCell ref="A207:B207"/>
    <mergeCell ref="A210:K210"/>
    <mergeCell ref="I344:J344"/>
    <mergeCell ref="A194:A195"/>
  </mergeCells>
  <pageMargins left="0" right="0" top="1.3779527559055118" bottom="0" header="0" footer="0"/>
  <pageSetup paperSize="9" scale="68" orientation="landscape" r:id="rId1"/>
  <rowBreaks count="1" manualBreakCount="1">
    <brk id="350" max="10" man="1"/>
  </rowBreaks>
  <colBreaks count="1" manualBreakCount="1">
    <brk id="11" max="1048575" man="1"/>
  </colBreaks>
  <ignoredErrors>
    <ignoredError sqref="A106 A189 A191 A80:A85 A69:A78 A103:A10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Sunoverska</dc:creator>
  <cp:lastModifiedBy>RePack by Diakov</cp:lastModifiedBy>
  <cp:lastPrinted>2019-07-17T13:27:14Z</cp:lastPrinted>
  <dcterms:created xsi:type="dcterms:W3CDTF">2012-02-01T12:37:59Z</dcterms:created>
  <dcterms:modified xsi:type="dcterms:W3CDTF">2019-07-19T13:08:58Z</dcterms:modified>
</cp:coreProperties>
</file>